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jkeith\Desktop\You V. You\Financials\"/>
    </mc:Choice>
  </mc:AlternateContent>
  <xr:revisionPtr revIDLastSave="0" documentId="13_ncr:1_{5B2B359B-D3AF-4D04-ABCF-C25D45E9088E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Garage Rates &amp; Packages" sheetId="7" state="hidden" r:id="rId1"/>
    <sheet name="Coaching Rates &amp; Packages" sheetId="8" r:id="rId2"/>
    <sheet name="60 Min. Training Rates" sheetId="1" r:id="rId3"/>
    <sheet name="30 &amp; 45 Min. Training Rates" sheetId="10" r:id="rId4"/>
    <sheet name="AverageHourlyRate" sheetId="12" r:id="rId5"/>
    <sheet name="Personal Training +" sheetId="9" r:id="rId6"/>
    <sheet name="Classes Rates" sheetId="11" r:id="rId7"/>
  </sheets>
  <definedNames>
    <definedName name="_xlnm._FilterDatabase" localSheetId="6" hidden="1">'Classes Rates'!$B$4:$F$4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2" l="1"/>
  <c r="B2" i="12"/>
  <c r="B8" i="12"/>
  <c r="B4" i="12"/>
  <c r="C2" i="12"/>
  <c r="B3" i="12"/>
  <c r="C3" i="12"/>
  <c r="C4" i="12"/>
  <c r="C5" i="12"/>
  <c r="B5" i="12" s="1"/>
  <c r="C6" i="12"/>
  <c r="B6" i="12" s="1"/>
  <c r="C7" i="12"/>
  <c r="B7" i="12" s="1"/>
  <c r="E12" i="1"/>
  <c r="H80" i="8"/>
  <c r="H79" i="8"/>
  <c r="H78" i="8"/>
  <c r="H76" i="8"/>
  <c r="H75" i="8"/>
  <c r="H74" i="8"/>
  <c r="H72" i="8"/>
  <c r="H71" i="8"/>
  <c r="H70" i="8"/>
  <c r="I70" i="8" s="1"/>
  <c r="J8" i="9"/>
  <c r="H22" i="10"/>
  <c r="J22" i="10"/>
  <c r="I22" i="10" s="1"/>
  <c r="H8" i="10"/>
  <c r="J8" i="10"/>
  <c r="I8" i="10" s="1"/>
  <c r="E23" i="10"/>
  <c r="L22" i="10" s="1"/>
  <c r="M22" i="10" s="1"/>
  <c r="E9" i="10"/>
  <c r="L8" i="10" s="1"/>
  <c r="M8" i="10" s="1"/>
  <c r="J16" i="1"/>
  <c r="K16" i="1"/>
  <c r="K8" i="1"/>
  <c r="W8" i="1" s="1"/>
  <c r="E9" i="1"/>
  <c r="D9" i="9" s="1"/>
  <c r="H73" i="8" l="1"/>
  <c r="E25" i="1"/>
  <c r="L24" i="1" s="1"/>
  <c r="W15" i="10"/>
  <c r="W29" i="10"/>
  <c r="K8" i="10"/>
  <c r="L8" i="1"/>
  <c r="M8" i="1" s="1"/>
  <c r="W16" i="1"/>
  <c r="L16" i="1"/>
  <c r="K22" i="10"/>
  <c r="D22" i="9"/>
  <c r="W8" i="10"/>
  <c r="W22" i="10"/>
  <c r="N24" i="1" l="1"/>
  <c r="O24" i="1" s="1"/>
  <c r="M24" i="1"/>
  <c r="M16" i="1"/>
  <c r="N16" i="1" s="1"/>
  <c r="K21" i="9"/>
  <c r="L21" i="9" s="1"/>
  <c r="D16" i="11" l="1"/>
  <c r="E16" i="11" s="1"/>
  <c r="D11" i="11"/>
  <c r="F11" i="11" s="1"/>
  <c r="D10" i="11"/>
  <c r="F10" i="11" s="1"/>
  <c r="D9" i="11"/>
  <c r="F9" i="11" s="1"/>
  <c r="D8" i="11"/>
  <c r="F8" i="11" s="1"/>
  <c r="D7" i="11"/>
  <c r="F7" i="11" s="1"/>
  <c r="D6" i="11"/>
  <c r="F6" i="11" s="1"/>
  <c r="D5" i="11"/>
  <c r="F5" i="11" s="1"/>
  <c r="D12" i="11"/>
  <c r="F12" i="11" s="1"/>
  <c r="H5" i="10"/>
  <c r="J5" i="10"/>
  <c r="H6" i="10"/>
  <c r="J6" i="10"/>
  <c r="H7" i="10"/>
  <c r="J7" i="10"/>
  <c r="J4" i="10"/>
  <c r="H4" i="10"/>
  <c r="J19" i="10"/>
  <c r="W26" i="10" s="1"/>
  <c r="J20" i="10"/>
  <c r="J21" i="10"/>
  <c r="J18" i="10"/>
  <c r="H19" i="10"/>
  <c r="H20" i="10"/>
  <c r="H21" i="10"/>
  <c r="H18" i="10"/>
  <c r="E19" i="10"/>
  <c r="L18" i="10" s="1"/>
  <c r="M18" i="10" s="1"/>
  <c r="E20" i="10"/>
  <c r="L19" i="10" s="1"/>
  <c r="M19" i="10" s="1"/>
  <c r="E21" i="10"/>
  <c r="L20" i="10" s="1"/>
  <c r="M20" i="10" s="1"/>
  <c r="E22" i="10"/>
  <c r="L21" i="10" s="1"/>
  <c r="M21" i="10" s="1"/>
  <c r="E18" i="10"/>
  <c r="E4" i="10"/>
  <c r="J12" i="1"/>
  <c r="K12" i="1"/>
  <c r="J13" i="1"/>
  <c r="K13" i="1"/>
  <c r="J14" i="1"/>
  <c r="K14" i="1"/>
  <c r="J15" i="1"/>
  <c r="K15" i="1"/>
  <c r="W7" i="10"/>
  <c r="E8" i="10"/>
  <c r="L7" i="10" s="1"/>
  <c r="M7" i="10" s="1"/>
  <c r="E7" i="10"/>
  <c r="L6" i="10" s="1"/>
  <c r="M6" i="10" s="1"/>
  <c r="E6" i="10"/>
  <c r="L5" i="10" s="1"/>
  <c r="M5" i="10" s="1"/>
  <c r="E5" i="10"/>
  <c r="L4" i="10" s="1"/>
  <c r="M4" i="10" s="1"/>
  <c r="E6" i="1"/>
  <c r="L13" i="1" s="1"/>
  <c r="E7" i="1"/>
  <c r="E8" i="1"/>
  <c r="E5" i="1"/>
  <c r="E4" i="1"/>
  <c r="T7" i="8"/>
  <c r="J7" i="9"/>
  <c r="J6" i="9"/>
  <c r="J5" i="9"/>
  <c r="J4" i="9"/>
  <c r="K7" i="1"/>
  <c r="K4" i="1"/>
  <c r="I80" i="8"/>
  <c r="N80" i="8" s="1"/>
  <c r="I79" i="8"/>
  <c r="N79" i="8" s="1"/>
  <c r="I76" i="8"/>
  <c r="N76" i="8" s="1"/>
  <c r="I75" i="8"/>
  <c r="N75" i="8" s="1"/>
  <c r="P72" i="8"/>
  <c r="I72" i="8"/>
  <c r="N72" i="8" s="1"/>
  <c r="P71" i="8"/>
  <c r="I71" i="8"/>
  <c r="P70" i="8"/>
  <c r="H65" i="8"/>
  <c r="I65" i="8" s="1"/>
  <c r="N65" i="8" s="1"/>
  <c r="H64" i="8"/>
  <c r="H62" i="8"/>
  <c r="I62" i="8" s="1"/>
  <c r="N62" i="8" s="1"/>
  <c r="H61" i="8"/>
  <c r="I61" i="8" s="1"/>
  <c r="P59" i="8"/>
  <c r="H59" i="8"/>
  <c r="I59" i="8" s="1"/>
  <c r="N59" i="8" s="1"/>
  <c r="P58" i="8"/>
  <c r="H58" i="8"/>
  <c r="H5" i="8"/>
  <c r="H4" i="8"/>
  <c r="P45" i="8"/>
  <c r="P44" i="8"/>
  <c r="P43" i="8"/>
  <c r="P32" i="8"/>
  <c r="P31" i="8"/>
  <c r="H53" i="8"/>
  <c r="I53" i="8" s="1"/>
  <c r="N53" i="8" s="1"/>
  <c r="H52" i="8"/>
  <c r="I52" i="8" s="1"/>
  <c r="N52" i="8" s="1"/>
  <c r="H51" i="8"/>
  <c r="H49" i="8"/>
  <c r="I49" i="8" s="1"/>
  <c r="N49" i="8" s="1"/>
  <c r="H48" i="8"/>
  <c r="I48" i="8" s="1"/>
  <c r="N48" i="8" s="1"/>
  <c r="H47" i="8"/>
  <c r="H45" i="8"/>
  <c r="I45" i="8" s="1"/>
  <c r="N45" i="8" s="1"/>
  <c r="H44" i="8"/>
  <c r="I44" i="8" s="1"/>
  <c r="N44" i="8" s="1"/>
  <c r="H43" i="8"/>
  <c r="I43" i="8" s="1"/>
  <c r="H38" i="8"/>
  <c r="I38" i="8" s="1"/>
  <c r="N38" i="8" s="1"/>
  <c r="H37" i="8"/>
  <c r="I37" i="8" s="1"/>
  <c r="H35" i="8"/>
  <c r="I35" i="8" s="1"/>
  <c r="N35" i="8" s="1"/>
  <c r="H34" i="8"/>
  <c r="I34" i="8" s="1"/>
  <c r="N34" i="8" s="1"/>
  <c r="H32" i="8"/>
  <c r="I32" i="8" s="1"/>
  <c r="N32" i="8" s="1"/>
  <c r="H31" i="8"/>
  <c r="I31" i="8" s="1"/>
  <c r="P18" i="8"/>
  <c r="P17" i="8"/>
  <c r="P16" i="8"/>
  <c r="P5" i="8"/>
  <c r="P4" i="8"/>
  <c r="W5" i="10" l="1"/>
  <c r="W12" i="10"/>
  <c r="W18" i="10"/>
  <c r="W25" i="10"/>
  <c r="W20" i="10"/>
  <c r="W27" i="10"/>
  <c r="I7" i="10"/>
  <c r="W14" i="10"/>
  <c r="I21" i="10"/>
  <c r="W28" i="10"/>
  <c r="W6" i="10"/>
  <c r="W13" i="10"/>
  <c r="W4" i="10"/>
  <c r="W11" i="10"/>
  <c r="D6" i="9"/>
  <c r="D19" i="9" s="1"/>
  <c r="L5" i="1"/>
  <c r="M5" i="1" s="1"/>
  <c r="W7" i="1"/>
  <c r="W15" i="1"/>
  <c r="D7" i="9"/>
  <c r="D20" i="9" s="1"/>
  <c r="K19" i="9" s="1"/>
  <c r="L19" i="9" s="1"/>
  <c r="L6" i="1"/>
  <c r="M6" i="1" s="1"/>
  <c r="L7" i="1"/>
  <c r="M7" i="1" s="1"/>
  <c r="D8" i="9"/>
  <c r="D21" i="9" s="1"/>
  <c r="K20" i="9" s="1"/>
  <c r="E20" i="1"/>
  <c r="D4" i="9"/>
  <c r="W4" i="1"/>
  <c r="W12" i="1"/>
  <c r="D5" i="9"/>
  <c r="D18" i="9" s="1"/>
  <c r="K17" i="9" s="1"/>
  <c r="L17" i="9" s="1"/>
  <c r="L4" i="1"/>
  <c r="M4" i="1" s="1"/>
  <c r="K19" i="10"/>
  <c r="N71" i="8"/>
  <c r="I73" i="8"/>
  <c r="K5" i="10"/>
  <c r="I20" i="10"/>
  <c r="W21" i="10"/>
  <c r="K4" i="10"/>
  <c r="K20" i="10"/>
  <c r="I4" i="10"/>
  <c r="K21" i="10"/>
  <c r="I5" i="10"/>
  <c r="I18" i="10"/>
  <c r="I6" i="10"/>
  <c r="W19" i="10"/>
  <c r="I19" i="10"/>
  <c r="L12" i="1"/>
  <c r="F16" i="11"/>
  <c r="K7" i="10"/>
  <c r="K18" i="10"/>
  <c r="K6" i="10"/>
  <c r="AB18" i="10"/>
  <c r="L15" i="1"/>
  <c r="L14" i="1"/>
  <c r="R4" i="1"/>
  <c r="R4" i="10"/>
  <c r="R5" i="10"/>
  <c r="R5" i="1"/>
  <c r="R6" i="10"/>
  <c r="E21" i="1"/>
  <c r="L20" i="1" s="1"/>
  <c r="M20" i="1" s="1"/>
  <c r="P5" i="9"/>
  <c r="P6" i="9"/>
  <c r="P73" i="8"/>
  <c r="H81" i="8"/>
  <c r="H77" i="8"/>
  <c r="H60" i="8"/>
  <c r="P60" i="8"/>
  <c r="H63" i="8"/>
  <c r="H66" i="8"/>
  <c r="N70" i="8"/>
  <c r="S6" i="8"/>
  <c r="T6" i="8" s="1"/>
  <c r="I63" i="8"/>
  <c r="N61" i="8"/>
  <c r="I64" i="8"/>
  <c r="I78" i="8"/>
  <c r="P33" i="8"/>
  <c r="P46" i="8"/>
  <c r="I58" i="8"/>
  <c r="I74" i="8"/>
  <c r="H50" i="8"/>
  <c r="H46" i="8"/>
  <c r="H54" i="8"/>
  <c r="P6" i="8"/>
  <c r="P19" i="8"/>
  <c r="H39" i="8"/>
  <c r="I39" i="8"/>
  <c r="N37" i="8"/>
  <c r="N31" i="8"/>
  <c r="I33" i="8"/>
  <c r="I36" i="8"/>
  <c r="I46" i="8"/>
  <c r="S5" i="8" s="1"/>
  <c r="N43" i="8"/>
  <c r="I51" i="8"/>
  <c r="I54" i="8" s="1"/>
  <c r="H33" i="8"/>
  <c r="H36" i="8"/>
  <c r="I47" i="8"/>
  <c r="J54" i="8" l="1"/>
  <c r="AB4" i="1"/>
  <c r="X4" i="1" s="1"/>
  <c r="Y4" i="1" s="1"/>
  <c r="M12" i="1"/>
  <c r="N12" i="1" s="1"/>
  <c r="M13" i="1"/>
  <c r="N13" i="1" s="1"/>
  <c r="M14" i="1"/>
  <c r="N14" i="1" s="1"/>
  <c r="M15" i="1"/>
  <c r="N15" i="1" s="1"/>
  <c r="P7" i="9"/>
  <c r="D12" i="9"/>
  <c r="K7" i="9" s="1"/>
  <c r="L7" i="9" s="1"/>
  <c r="P4" i="9"/>
  <c r="D17" i="9"/>
  <c r="K18" i="9"/>
  <c r="L18" i="9" s="1"/>
  <c r="L20" i="9"/>
  <c r="AB21" i="10"/>
  <c r="AD21" i="10" s="1"/>
  <c r="N21" i="10"/>
  <c r="AB8" i="10"/>
  <c r="N22" i="10"/>
  <c r="AB22" i="10"/>
  <c r="N19" i="10"/>
  <c r="AB19" i="10"/>
  <c r="AC18" i="10"/>
  <c r="Z18" i="10"/>
  <c r="AA18" i="10" s="1"/>
  <c r="X18" i="10"/>
  <c r="Y18" i="10" s="1"/>
  <c r="N20" i="10"/>
  <c r="AB20" i="10"/>
  <c r="AD18" i="10"/>
  <c r="N8" i="1"/>
  <c r="AB8" i="1"/>
  <c r="T5" i="8"/>
  <c r="AC4" i="1"/>
  <c r="Z4" i="1"/>
  <c r="AA4" i="1" s="1"/>
  <c r="AB4" i="10"/>
  <c r="AB5" i="10"/>
  <c r="R7" i="10"/>
  <c r="N20" i="1"/>
  <c r="E22" i="1"/>
  <c r="L21" i="1" s="1"/>
  <c r="M21" i="1" s="1"/>
  <c r="R6" i="1"/>
  <c r="J63" i="8"/>
  <c r="J73" i="8"/>
  <c r="N58" i="8"/>
  <c r="I60" i="8"/>
  <c r="J60" i="8" s="1"/>
  <c r="I66" i="8"/>
  <c r="J66" i="8" s="1"/>
  <c r="N64" i="8"/>
  <c r="I77" i="8"/>
  <c r="J77" i="8" s="1"/>
  <c r="N74" i="8"/>
  <c r="I81" i="8"/>
  <c r="J81" i="8" s="1"/>
  <c r="N78" i="8"/>
  <c r="J46" i="8"/>
  <c r="J39" i="8"/>
  <c r="I50" i="8"/>
  <c r="J50" i="8" s="1"/>
  <c r="N47" i="8"/>
  <c r="J33" i="8"/>
  <c r="J36" i="8"/>
  <c r="N51" i="8"/>
  <c r="AF18" i="10" l="1"/>
  <c r="AC25" i="10"/>
  <c r="K8" i="9"/>
  <c r="L8" i="9" s="1"/>
  <c r="M21" i="9" s="1"/>
  <c r="K5" i="9"/>
  <c r="L5" i="9" s="1"/>
  <c r="Q5" i="9" s="1"/>
  <c r="K4" i="9"/>
  <c r="L4" i="9" s="1"/>
  <c r="K6" i="9"/>
  <c r="L6" i="9" s="1"/>
  <c r="AF4" i="1"/>
  <c r="AI4" i="1" s="1"/>
  <c r="AC12" i="1"/>
  <c r="M20" i="9"/>
  <c r="Q7" i="9"/>
  <c r="AH18" i="10"/>
  <c r="AG18" i="10"/>
  <c r="AI18" i="10"/>
  <c r="Z21" i="10"/>
  <c r="AA21" i="10" s="1"/>
  <c r="AC21" i="10"/>
  <c r="X21" i="10"/>
  <c r="Y21" i="10" s="1"/>
  <c r="AC22" i="10"/>
  <c r="AD22" i="10"/>
  <c r="X22" i="10"/>
  <c r="Y22" i="10" s="1"/>
  <c r="Z22" i="10"/>
  <c r="AA22" i="10" s="1"/>
  <c r="X8" i="10"/>
  <c r="Y8" i="10" s="1"/>
  <c r="Z8" i="10"/>
  <c r="AA8" i="10" s="1"/>
  <c r="AD8" i="10"/>
  <c r="AC8" i="10"/>
  <c r="X4" i="10"/>
  <c r="Y4" i="10" s="1"/>
  <c r="AD20" i="10"/>
  <c r="Z20" i="10"/>
  <c r="AA20" i="10" s="1"/>
  <c r="X20" i="10"/>
  <c r="Y20" i="10" s="1"/>
  <c r="AC20" i="10"/>
  <c r="AC19" i="10"/>
  <c r="AD19" i="10"/>
  <c r="X19" i="10"/>
  <c r="Y19" i="10" s="1"/>
  <c r="Z19" i="10"/>
  <c r="AA19" i="10" s="1"/>
  <c r="Z8" i="1"/>
  <c r="AA8" i="1" s="1"/>
  <c r="X8" i="1"/>
  <c r="Y8" i="1" s="1"/>
  <c r="AD8" i="1"/>
  <c r="AC8" i="1"/>
  <c r="Z4" i="10"/>
  <c r="AA4" i="10" s="1"/>
  <c r="X5" i="10"/>
  <c r="Y5" i="10" s="1"/>
  <c r="Z5" i="10"/>
  <c r="AC5" i="10"/>
  <c r="AD4" i="10"/>
  <c r="AC4" i="10"/>
  <c r="AC11" i="10" s="1"/>
  <c r="AB7" i="10"/>
  <c r="AB6" i="10"/>
  <c r="AD5" i="10"/>
  <c r="N21" i="1"/>
  <c r="AB5" i="1"/>
  <c r="AD4" i="1"/>
  <c r="E24" i="1"/>
  <c r="L23" i="1" s="1"/>
  <c r="M23" i="1" s="1"/>
  <c r="E23" i="1"/>
  <c r="L22" i="1" s="1"/>
  <c r="M22" i="1" s="1"/>
  <c r="R7" i="1"/>
  <c r="H26" i="8"/>
  <c r="I26" i="8" s="1"/>
  <c r="N26" i="8" s="1"/>
  <c r="H25" i="8"/>
  <c r="I25" i="8" s="1"/>
  <c r="H24" i="8"/>
  <c r="I24" i="8" s="1"/>
  <c r="N24" i="8" s="1"/>
  <c r="H22" i="8"/>
  <c r="I22" i="8" s="1"/>
  <c r="N22" i="8" s="1"/>
  <c r="H21" i="8"/>
  <c r="I21" i="8" s="1"/>
  <c r="H20" i="8"/>
  <c r="H18" i="8"/>
  <c r="I18" i="8" s="1"/>
  <c r="N18" i="8" s="1"/>
  <c r="H17" i="8"/>
  <c r="I17" i="8" s="1"/>
  <c r="H16" i="8"/>
  <c r="I16" i="8" s="1"/>
  <c r="N16" i="8" s="1"/>
  <c r="I4" i="8"/>
  <c r="AF4" i="10" l="1"/>
  <c r="AG4" i="10" s="1"/>
  <c r="AF8" i="10"/>
  <c r="AC15" i="10"/>
  <c r="AF5" i="10"/>
  <c r="AI5" i="10" s="1"/>
  <c r="AC12" i="10"/>
  <c r="AF20" i="10"/>
  <c r="AI20" i="10" s="1"/>
  <c r="AC27" i="10"/>
  <c r="AF21" i="10"/>
  <c r="AH21" i="10" s="1"/>
  <c r="AC28" i="10"/>
  <c r="AB25" i="10"/>
  <c r="AF25" i="10"/>
  <c r="AF19" i="10"/>
  <c r="AG19" i="10" s="1"/>
  <c r="AC26" i="10"/>
  <c r="AF22" i="10"/>
  <c r="AG22" i="10" s="1"/>
  <c r="AC29" i="10"/>
  <c r="Q6" i="9"/>
  <c r="M19" i="9"/>
  <c r="Q4" i="9"/>
  <c r="M17" i="9"/>
  <c r="M18" i="9"/>
  <c r="AF8" i="1"/>
  <c r="AH8" i="1" s="1"/>
  <c r="AC16" i="1"/>
  <c r="AG4" i="1"/>
  <c r="AB12" i="1"/>
  <c r="AF12" i="1"/>
  <c r="AH4" i="1"/>
  <c r="AH8" i="10"/>
  <c r="AI8" i="10"/>
  <c r="AG8" i="10"/>
  <c r="X5" i="1"/>
  <c r="Z5" i="1"/>
  <c r="X6" i="10"/>
  <c r="Y6" i="10" s="1"/>
  <c r="Z6" i="10"/>
  <c r="X7" i="10"/>
  <c r="Y7" i="10" s="1"/>
  <c r="Z7" i="10"/>
  <c r="AC7" i="10"/>
  <c r="AC6" i="10"/>
  <c r="AA5" i="10"/>
  <c r="AD7" i="10"/>
  <c r="AD6" i="10"/>
  <c r="N23" i="1"/>
  <c r="N22" i="1"/>
  <c r="N7" i="1"/>
  <c r="AB7" i="1"/>
  <c r="AB6" i="1"/>
  <c r="AD5" i="1"/>
  <c r="N4" i="8"/>
  <c r="H23" i="8"/>
  <c r="H19" i="8"/>
  <c r="H27" i="8"/>
  <c r="I20" i="8"/>
  <c r="N20" i="8" s="1"/>
  <c r="N21" i="8"/>
  <c r="N17" i="8"/>
  <c r="I19" i="8"/>
  <c r="N25" i="8"/>
  <c r="I27" i="8"/>
  <c r="AG5" i="10" l="1"/>
  <c r="AH5" i="10"/>
  <c r="AI4" i="10"/>
  <c r="AH4" i="10"/>
  <c r="AH19" i="10"/>
  <c r="AI19" i="10"/>
  <c r="AI22" i="10"/>
  <c r="AH22" i="10"/>
  <c r="AI21" i="10"/>
  <c r="AI25" i="10"/>
  <c r="AG25" i="10"/>
  <c r="AH25" i="10"/>
  <c r="AB28" i="10"/>
  <c r="AF28" i="10"/>
  <c r="AD25" i="10"/>
  <c r="Z25" i="10"/>
  <c r="AA25" i="10" s="1"/>
  <c r="X25" i="10"/>
  <c r="Y25" i="10" s="1"/>
  <c r="AF7" i="10"/>
  <c r="AH7" i="10" s="1"/>
  <c r="AC14" i="10"/>
  <c r="AF12" i="10"/>
  <c r="AB12" i="10"/>
  <c r="AF15" i="10"/>
  <c r="AB15" i="10"/>
  <c r="AB27" i="10"/>
  <c r="AF27" i="10"/>
  <c r="AF6" i="10"/>
  <c r="AI6" i="10" s="1"/>
  <c r="AC13" i="10"/>
  <c r="AG20" i="10"/>
  <c r="AG21" i="10"/>
  <c r="AH20" i="10"/>
  <c r="AB29" i="10"/>
  <c r="AF29" i="10"/>
  <c r="AB26" i="10"/>
  <c r="AF26" i="10"/>
  <c r="AF11" i="10"/>
  <c r="AB11" i="10"/>
  <c r="AI8" i="1"/>
  <c r="AG8" i="1"/>
  <c r="AB16" i="1"/>
  <c r="AF16" i="1"/>
  <c r="X12" i="1"/>
  <c r="Y12" i="1" s="1"/>
  <c r="Z12" i="1"/>
  <c r="AA12" i="1" s="1"/>
  <c r="AD12" i="1"/>
  <c r="AH12" i="1"/>
  <c r="AI12" i="1"/>
  <c r="AG12" i="1"/>
  <c r="X6" i="1"/>
  <c r="Z6" i="1"/>
  <c r="X7" i="1"/>
  <c r="Y7" i="1" s="1"/>
  <c r="Z7" i="1"/>
  <c r="AA7" i="1" s="1"/>
  <c r="AA6" i="10"/>
  <c r="AA7" i="10"/>
  <c r="AC7" i="1"/>
  <c r="O23" i="1"/>
  <c r="S7" i="1"/>
  <c r="AD6" i="1"/>
  <c r="AD7" i="1"/>
  <c r="I23" i="8"/>
  <c r="J23" i="8" s="1"/>
  <c r="J27" i="8"/>
  <c r="J19" i="8"/>
  <c r="AI29" i="10" l="1"/>
  <c r="AH29" i="10"/>
  <c r="AG29" i="10"/>
  <c r="AI7" i="10"/>
  <c r="AD28" i="10"/>
  <c r="Z28" i="10"/>
  <c r="AA28" i="10" s="1"/>
  <c r="X28" i="10"/>
  <c r="Y28" i="10" s="1"/>
  <c r="X26" i="10"/>
  <c r="Y26" i="10" s="1"/>
  <c r="Z26" i="10"/>
  <c r="AA26" i="10" s="1"/>
  <c r="AD26" i="10"/>
  <c r="AI12" i="10"/>
  <c r="AG12" i="10"/>
  <c r="AH12" i="10"/>
  <c r="AG7" i="10"/>
  <c r="AD11" i="10"/>
  <c r="Z11" i="10"/>
  <c r="AA11" i="10" s="1"/>
  <c r="X11" i="10"/>
  <c r="Y11" i="10" s="1"/>
  <c r="AD12" i="10"/>
  <c r="X12" i="10"/>
  <c r="Y12" i="10" s="1"/>
  <c r="Z12" i="10"/>
  <c r="AA12" i="10" s="1"/>
  <c r="AF14" i="10"/>
  <c r="AB14" i="10"/>
  <c r="AF13" i="10"/>
  <c r="AB13" i="10"/>
  <c r="AI28" i="10"/>
  <c r="AG28" i="10"/>
  <c r="AH28" i="10"/>
  <c r="AH6" i="10"/>
  <c r="AG6" i="10"/>
  <c r="AG11" i="10"/>
  <c r="AI11" i="10"/>
  <c r="AH11" i="10"/>
  <c r="X15" i="10"/>
  <c r="Y15" i="10" s="1"/>
  <c r="Z15" i="10"/>
  <c r="AA15" i="10" s="1"/>
  <c r="AD15" i="10"/>
  <c r="Z29" i="10"/>
  <c r="AA29" i="10" s="1"/>
  <c r="X29" i="10"/>
  <c r="Y29" i="10" s="1"/>
  <c r="AD29" i="10"/>
  <c r="AI27" i="10"/>
  <c r="AG27" i="10"/>
  <c r="AH27" i="10"/>
  <c r="X27" i="10"/>
  <c r="Y27" i="10" s="1"/>
  <c r="Z27" i="10"/>
  <c r="AA27" i="10" s="1"/>
  <c r="AD27" i="10"/>
  <c r="AI26" i="10"/>
  <c r="AG26" i="10"/>
  <c r="AH26" i="10"/>
  <c r="AH15" i="10"/>
  <c r="AG15" i="10"/>
  <c r="AI15" i="10"/>
  <c r="AF7" i="1"/>
  <c r="AI7" i="1" s="1"/>
  <c r="AC15" i="1"/>
  <c r="AI16" i="1"/>
  <c r="AH16" i="1"/>
  <c r="AG16" i="1"/>
  <c r="X16" i="1"/>
  <c r="Y16" i="1" s="1"/>
  <c r="Z16" i="1"/>
  <c r="AA16" i="1" s="1"/>
  <c r="AD16" i="1"/>
  <c r="AG7" i="1"/>
  <c r="AH7" i="1"/>
  <c r="K6" i="1"/>
  <c r="W14" i="1" s="1"/>
  <c r="K5" i="1"/>
  <c r="H11" i="8"/>
  <c r="H10" i="8"/>
  <c r="I10" i="8" s="1"/>
  <c r="N10" i="8" s="1"/>
  <c r="H8" i="8"/>
  <c r="I8" i="8" s="1"/>
  <c r="N8" i="8" s="1"/>
  <c r="H7" i="8"/>
  <c r="AG13" i="10" l="1"/>
  <c r="AI13" i="10"/>
  <c r="AH13" i="10"/>
  <c r="AD14" i="10"/>
  <c r="Z14" i="10"/>
  <c r="AA14" i="10" s="1"/>
  <c r="X14" i="10"/>
  <c r="Y14" i="10" s="1"/>
  <c r="AI14" i="10"/>
  <c r="AH14" i="10"/>
  <c r="AG14" i="10"/>
  <c r="Z13" i="10"/>
  <c r="AA13" i="10" s="1"/>
  <c r="AD13" i="10"/>
  <c r="X13" i="10"/>
  <c r="Y13" i="10" s="1"/>
  <c r="N5" i="1"/>
  <c r="W13" i="1"/>
  <c r="AB15" i="1"/>
  <c r="AF15" i="1"/>
  <c r="N6" i="1"/>
  <c r="W5" i="1"/>
  <c r="Y5" i="1" s="1"/>
  <c r="W6" i="1"/>
  <c r="I7" i="8"/>
  <c r="N7" i="8" s="1"/>
  <c r="H12" i="8"/>
  <c r="I11" i="8"/>
  <c r="H9" i="8"/>
  <c r="H6" i="8"/>
  <c r="J12" i="7"/>
  <c r="K12" i="7" s="1"/>
  <c r="J11" i="7"/>
  <c r="K11" i="7" s="1"/>
  <c r="J10" i="7"/>
  <c r="K10" i="7" s="1"/>
  <c r="J9" i="7"/>
  <c r="K9" i="7" s="1"/>
  <c r="J6" i="7"/>
  <c r="K6" i="7" s="1"/>
  <c r="J5" i="7"/>
  <c r="K5" i="7" s="1"/>
  <c r="J4" i="7"/>
  <c r="K4" i="7" s="1"/>
  <c r="J3" i="7"/>
  <c r="K3" i="7" s="1"/>
  <c r="AG15" i="1" l="1"/>
  <c r="AI15" i="1"/>
  <c r="AH15" i="1"/>
  <c r="X15" i="1"/>
  <c r="Y15" i="1" s="1"/>
  <c r="AD15" i="1"/>
  <c r="Z15" i="1"/>
  <c r="AA15" i="1" s="1"/>
  <c r="Y6" i="1"/>
  <c r="AC6" i="1"/>
  <c r="AA6" i="1"/>
  <c r="AC5" i="1"/>
  <c r="AA5" i="1"/>
  <c r="I9" i="8"/>
  <c r="J9" i="8" s="1"/>
  <c r="I12" i="8"/>
  <c r="J12" i="8" s="1"/>
  <c r="N11" i="8"/>
  <c r="AF5" i="1" l="1"/>
  <c r="AC13" i="1"/>
  <c r="AB13" i="1" s="1"/>
  <c r="AF6" i="1"/>
  <c r="AC14" i="1"/>
  <c r="AG5" i="1"/>
  <c r="AI5" i="1"/>
  <c r="AH5" i="1"/>
  <c r="AG6" i="1"/>
  <c r="AH6" i="1"/>
  <c r="AI6" i="1"/>
  <c r="I5" i="8"/>
  <c r="S5" i="1"/>
  <c r="AB14" i="1" l="1"/>
  <c r="AF14" i="1"/>
  <c r="AF13" i="1"/>
  <c r="N5" i="8"/>
  <c r="I6" i="8"/>
  <c r="S4" i="8" s="1"/>
  <c r="T4" i="8" s="1"/>
  <c r="O22" i="1"/>
  <c r="S6" i="1"/>
  <c r="O21" i="1"/>
  <c r="AG13" i="1" l="1"/>
  <c r="AI13" i="1"/>
  <c r="AH13" i="1"/>
  <c r="X13" i="1"/>
  <c r="Y13" i="1" s="1"/>
  <c r="AD13" i="1"/>
  <c r="Z13" i="1"/>
  <c r="AA13" i="1" s="1"/>
  <c r="AH14" i="1"/>
  <c r="AG14" i="1"/>
  <c r="AI14" i="1"/>
  <c r="Z14" i="1"/>
  <c r="AA14" i="1" s="1"/>
  <c r="X14" i="1"/>
  <c r="Y14" i="1" s="1"/>
  <c r="AD14" i="1"/>
  <c r="J6" i="8"/>
  <c r="S4" i="1" l="1"/>
  <c r="O20" i="1" l="1"/>
  <c r="N4" i="1"/>
  <c r="N18" i="10"/>
  <c r="N4" i="10"/>
  <c r="S4" i="10"/>
  <c r="N8" i="10"/>
  <c r="N5" i="10"/>
  <c r="S5" i="10"/>
  <c r="N6" i="10"/>
  <c r="S6" i="10"/>
  <c r="N7" i="10"/>
  <c r="S7" i="10"/>
</calcChain>
</file>

<file path=xl/sharedStrings.xml><?xml version="1.0" encoding="utf-8"?>
<sst xmlns="http://schemas.openxmlformats.org/spreadsheetml/2006/main" count="455" uniqueCount="115">
  <si>
    <t>Session time (min)</t>
  </si>
  <si>
    <t>Session Rate</t>
  </si>
  <si>
    <t>Training Program</t>
  </si>
  <si>
    <t>Macro Split</t>
  </si>
  <si>
    <t>Bi-Weekly Check-In</t>
  </si>
  <si>
    <t>Package #</t>
  </si>
  <si>
    <t># of sessions</t>
  </si>
  <si>
    <t>Discount</t>
  </si>
  <si>
    <t>3 Month Packages</t>
  </si>
  <si>
    <t>6 Month Packages</t>
  </si>
  <si>
    <t>Regular Monthly Rate</t>
  </si>
  <si>
    <t>Package Monthly Rate</t>
  </si>
  <si>
    <t>Totals:</t>
  </si>
  <si>
    <t>Starting Personal Training Rates</t>
  </si>
  <si>
    <t>Rate</t>
  </si>
  <si>
    <t>Additional Trainer Services</t>
  </si>
  <si>
    <t>Group Personal Training Rates</t>
  </si>
  <si>
    <t>Package Rate</t>
  </si>
  <si>
    <t>Monthly Check-In's</t>
  </si>
  <si>
    <t>Regular Package Monthly Payment</t>
  </si>
  <si>
    <t>Discounted Package Monthly Payment</t>
  </si>
  <si>
    <t>Group Package Monthly Payment</t>
  </si>
  <si>
    <t>Group Package Monthly Payment/ Person</t>
  </si>
  <si>
    <t>1 Month Coaching Packages (Includes Training Program, Macro Split, &amp; Bi-Weekly Check-In's)</t>
  </si>
  <si>
    <t>Coaching Time</t>
  </si>
  <si>
    <t>Coaching Service</t>
  </si>
  <si>
    <t>Time (min)</t>
  </si>
  <si>
    <t>Coaching Rate</t>
  </si>
  <si>
    <t>Check-In</t>
  </si>
  <si>
    <t>Service</t>
  </si>
  <si>
    <t>Services/ Month</t>
  </si>
  <si>
    <t>Number of Months</t>
  </si>
  <si>
    <t>Individual Training Rates</t>
  </si>
  <si>
    <t>Total Monthly Training Hours</t>
  </si>
  <si>
    <t>* Either:</t>
  </si>
  <si>
    <t>Bronze Coaching Package</t>
  </si>
  <si>
    <t>* Custom training program.</t>
  </si>
  <si>
    <t>* Custom nutrition plan.</t>
  </si>
  <si>
    <t>Training Program or Nutrition Plan</t>
  </si>
  <si>
    <t>Nutrition Plan</t>
  </si>
  <si>
    <t>* Twice a week check-in call.</t>
  </si>
  <si>
    <t>- Custom training program.</t>
  </si>
  <si>
    <t>- Custom nutrition plan.</t>
  </si>
  <si>
    <t>* Basic training program.</t>
  </si>
  <si>
    <t>* Basic nutrition plan.</t>
  </si>
  <si>
    <t>Silver Coaching</t>
  </si>
  <si>
    <t>Gold Coaching</t>
  </si>
  <si>
    <t>* Once a week check-in call.</t>
  </si>
  <si>
    <t>Check-In (Includes 5 Min Buffer)</t>
  </si>
  <si>
    <t>Packages Tiers (Includes all sessions + Bi-Weekly Check-In's)</t>
  </si>
  <si>
    <t>Personal Training +</t>
  </si>
  <si>
    <t># of Sessions</t>
  </si>
  <si>
    <t>Total Package Coaching Plan</t>
  </si>
  <si>
    <t>Intro Coaching Plan</t>
  </si>
  <si>
    <t>V.I.P. Coaching Plan</t>
  </si>
  <si>
    <t>Plan</t>
  </si>
  <si>
    <t>Standard One Month Price</t>
  </si>
  <si>
    <t>20% Discounted Grand Opening One Month Price</t>
  </si>
  <si>
    <t>Personal Training</t>
  </si>
  <si>
    <t>Monthly</t>
  </si>
  <si>
    <t>Commitment</t>
  </si>
  <si>
    <t>3 Months</t>
  </si>
  <si>
    <t>Total Hours</t>
  </si>
  <si>
    <t>Group Training + (2 people max)</t>
  </si>
  <si>
    <t>Group Training (2 people max)</t>
  </si>
  <si>
    <t>Discounted Package Weekly Payment</t>
  </si>
  <si>
    <t>Travel Frequency</t>
  </si>
  <si>
    <t>3 Month Package Tiers</t>
  </si>
  <si>
    <t>3 Month Package Tiers + Travel + Additional Trainer for safety</t>
  </si>
  <si>
    <t>Standard Monthly Price</t>
  </si>
  <si>
    <t>Standard Monthly Session Price</t>
  </si>
  <si>
    <t>Bi-Weekly Price</t>
  </si>
  <si>
    <t>Bi-Weekly Session Price</t>
  </si>
  <si>
    <t>Total Sessions</t>
  </si>
  <si>
    <t>Weekly Price</t>
  </si>
  <si>
    <t>Weekly Session Price</t>
  </si>
  <si>
    <t>3% surcharge</t>
  </si>
  <si>
    <t>30 min. Individual Training Rates</t>
  </si>
  <si>
    <t>45 min. Individual Training Rates</t>
  </si>
  <si>
    <t># of Monthly Sessions</t>
  </si>
  <si>
    <t># of Weekly Sessions</t>
  </si>
  <si>
    <t>30 min. 3 Month Package Tiers</t>
  </si>
  <si>
    <t>45 min 3 Month Packages Tiers</t>
  </si>
  <si>
    <t>Package Weekly Payment</t>
  </si>
  <si>
    <t>Rate/Person</t>
  </si>
  <si>
    <t># of People</t>
  </si>
  <si>
    <t>Total Revenue</t>
  </si>
  <si>
    <t>Trainer Pay</t>
  </si>
  <si>
    <t>You V. You</t>
  </si>
  <si>
    <t>8+</t>
  </si>
  <si>
    <t>$120+</t>
  </si>
  <si>
    <t>Class Held Outside</t>
  </si>
  <si>
    <t>Class Held at You V. You</t>
  </si>
  <si>
    <t>Personal Trainer Pay for Classes</t>
  </si>
  <si>
    <t>Elite Coaching Plan</t>
  </si>
  <si>
    <t>Surcharge</t>
  </si>
  <si>
    <t>Hourly Rate</t>
  </si>
  <si>
    <t>Monthly Profit</t>
  </si>
  <si>
    <t>Proffit %</t>
  </si>
  <si>
    <t>Margin %</t>
  </si>
  <si>
    <t>1 Month</t>
  </si>
  <si>
    <t>Travel time (min)</t>
  </si>
  <si>
    <t>Regular 3 Month Package Monthly Payment</t>
  </si>
  <si>
    <t>Group 3 Month Package Monthly Payment</t>
  </si>
  <si>
    <t>Discounted 3 Month Package Monthly Payment</t>
  </si>
  <si>
    <t>Regular 1 Month Payment</t>
  </si>
  <si>
    <t>1 Month per Class Increase</t>
  </si>
  <si>
    <t>3 Month Group Package Monthly Payment/ Person</t>
  </si>
  <si>
    <t>x</t>
  </si>
  <si>
    <t>12-30</t>
  </si>
  <si>
    <t>4-30</t>
  </si>
  <si>
    <t>12-60</t>
  </si>
  <si>
    <t>4-60</t>
  </si>
  <si>
    <t>Steve</t>
  </si>
  <si>
    <t>8-45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</si>
</sst>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66FF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1">
    <xf numFmtId="0" fontId="0" fillId="0" borderId="0" xfId="0"/>
    <xf numFmtId="44" fontId="0" fillId="0" borderId="0" xfId="1" applyFont="1"/>
    <xf numFmtId="0" fontId="2" fillId="0" borderId="0" xfId="0" applyFont="1"/>
    <xf numFmtId="0" fontId="2" fillId="0" borderId="0" xfId="0" applyFont="1" applyAlignment="1">
      <alignment wrapText="1"/>
    </xf>
    <xf numFmtId="44" fontId="0" fillId="0" borderId="1" xfId="0" applyNumberFormat="1" applyBorder="1"/>
    <xf numFmtId="44" fontId="0" fillId="0" borderId="1" xfId="0" applyNumberFormat="1" applyBorder="1" applyAlignment="1">
      <alignment horizontal="center"/>
    </xf>
    <xf numFmtId="44" fontId="0" fillId="0" borderId="10" xfId="1" applyFont="1" applyBorder="1"/>
    <xf numFmtId="44" fontId="0" fillId="0" borderId="12" xfId="0" applyNumberFormat="1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44" fontId="0" fillId="0" borderId="19" xfId="1" applyFont="1" applyBorder="1"/>
    <xf numFmtId="44" fontId="0" fillId="0" borderId="2" xfId="0" applyNumberFormat="1" applyBorder="1" applyAlignment="1">
      <alignment horizontal="center"/>
    </xf>
    <xf numFmtId="44" fontId="0" fillId="0" borderId="2" xfId="0" applyNumberFormat="1" applyBorder="1"/>
    <xf numFmtId="0" fontId="0" fillId="0" borderId="22" xfId="0" applyBorder="1" applyAlignment="1">
      <alignment horizontal="center"/>
    </xf>
    <xf numFmtId="44" fontId="0" fillId="0" borderId="22" xfId="0" applyNumberFormat="1" applyBorder="1" applyAlignment="1">
      <alignment horizontal="center"/>
    </xf>
    <xf numFmtId="44" fontId="0" fillId="0" borderId="22" xfId="0" applyNumberFormat="1" applyBorder="1"/>
    <xf numFmtId="9" fontId="0" fillId="0" borderId="15" xfId="2" applyFont="1" applyBorder="1"/>
    <xf numFmtId="9" fontId="0" fillId="0" borderId="10" xfId="2" applyFont="1" applyBorder="1"/>
    <xf numFmtId="0" fontId="0" fillId="0" borderId="23" xfId="0" applyBorder="1" applyAlignment="1">
      <alignment horizontal="center"/>
    </xf>
    <xf numFmtId="9" fontId="0" fillId="0" borderId="24" xfId="2" applyFont="1" applyBorder="1"/>
    <xf numFmtId="44" fontId="0" fillId="0" borderId="12" xfId="0" applyNumberFormat="1" applyBorder="1" applyAlignment="1">
      <alignment horizontal="center"/>
    </xf>
    <xf numFmtId="9" fontId="0" fillId="0" borderId="13" xfId="2" applyFont="1" applyBorder="1"/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20" xfId="0" applyFont="1" applyFill="1" applyBorder="1" applyAlignment="1">
      <alignment wrapText="1"/>
    </xf>
    <xf numFmtId="0" fontId="2" fillId="2" borderId="21" xfId="0" applyFont="1" applyFill="1" applyBorder="1"/>
    <xf numFmtId="0" fontId="2" fillId="2" borderId="11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0" fillId="0" borderId="0" xfId="0" applyAlignment="1">
      <alignment wrapText="1"/>
    </xf>
    <xf numFmtId="44" fontId="0" fillId="0" borderId="15" xfId="1" applyFont="1" applyBorder="1"/>
    <xf numFmtId="44" fontId="0" fillId="0" borderId="13" xfId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4" fontId="1" fillId="0" borderId="27" xfId="1" applyFont="1" applyBorder="1" applyAlignment="1">
      <alignment wrapText="1"/>
    </xf>
    <xf numFmtId="44" fontId="1" fillId="0" borderId="0" xfId="1" applyFont="1" applyFill="1" applyBorder="1"/>
    <xf numFmtId="44" fontId="0" fillId="0" borderId="5" xfId="1" applyFont="1" applyBorder="1"/>
    <xf numFmtId="44" fontId="3" fillId="5" borderId="10" xfId="1" applyFont="1" applyFill="1" applyBorder="1"/>
    <xf numFmtId="44" fontId="3" fillId="5" borderId="13" xfId="1" applyFont="1" applyFill="1" applyBorder="1"/>
    <xf numFmtId="44" fontId="3" fillId="5" borderId="15" xfId="1" applyFont="1" applyFill="1" applyBorder="1"/>
    <xf numFmtId="44" fontId="3" fillId="5" borderId="2" xfId="0" applyNumberFormat="1" applyFont="1" applyFill="1" applyBorder="1" applyAlignment="1">
      <alignment horizontal="center"/>
    </xf>
    <xf numFmtId="44" fontId="2" fillId="6" borderId="2" xfId="0" applyNumberFormat="1" applyFont="1" applyFill="1" applyBorder="1"/>
    <xf numFmtId="0" fontId="0" fillId="7" borderId="6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9" fontId="0" fillId="7" borderId="8" xfId="2" applyFont="1" applyFill="1" applyBorder="1"/>
    <xf numFmtId="9" fontId="0" fillId="7" borderId="10" xfId="2" applyFont="1" applyFill="1" applyBorder="1"/>
    <xf numFmtId="9" fontId="0" fillId="7" borderId="15" xfId="2" applyFont="1" applyFill="1" applyBorder="1"/>
    <xf numFmtId="0" fontId="3" fillId="8" borderId="42" xfId="0" applyFont="1" applyFill="1" applyBorder="1" applyAlignment="1">
      <alignment horizontal="center" vertical="center" wrapText="1"/>
    </xf>
    <xf numFmtId="0" fontId="3" fillId="8" borderId="43" xfId="0" applyFont="1" applyFill="1" applyBorder="1" applyAlignment="1">
      <alignment horizontal="center" vertical="center" wrapText="1"/>
    </xf>
    <xf numFmtId="0" fontId="3" fillId="8" borderId="4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44" fontId="0" fillId="0" borderId="0" xfId="0" applyNumberFormat="1"/>
    <xf numFmtId="0" fontId="0" fillId="4" borderId="0" xfId="0" applyFill="1" applyAlignment="1">
      <alignment horizontal="center"/>
    </xf>
    <xf numFmtId="44" fontId="0" fillId="4" borderId="0" xfId="1" applyFont="1" applyFill="1" applyAlignment="1">
      <alignment horizontal="center"/>
    </xf>
    <xf numFmtId="0" fontId="0" fillId="4" borderId="45" xfId="0" applyFill="1" applyBorder="1"/>
    <xf numFmtId="0" fontId="0" fillId="4" borderId="33" xfId="0" applyFill="1" applyBorder="1"/>
    <xf numFmtId="0" fontId="0" fillId="4" borderId="0" xfId="0" applyFill="1"/>
    <xf numFmtId="44" fontId="0" fillId="4" borderId="0" xfId="1" applyFont="1" applyFill="1"/>
    <xf numFmtId="164" fontId="0" fillId="0" borderId="0" xfId="0" applyNumberFormat="1"/>
    <xf numFmtId="164" fontId="2" fillId="0" borderId="0" xfId="0" applyNumberFormat="1" applyFont="1"/>
    <xf numFmtId="9" fontId="0" fillId="7" borderId="24" xfId="2" applyFont="1" applyFill="1" applyBorder="1"/>
    <xf numFmtId="9" fontId="2" fillId="7" borderId="5" xfId="2" applyFont="1" applyFill="1" applyBorder="1"/>
    <xf numFmtId="0" fontId="0" fillId="7" borderId="23" xfId="0" applyFill="1" applyBorder="1" applyAlignment="1">
      <alignment horizontal="center"/>
    </xf>
    <xf numFmtId="0" fontId="0" fillId="7" borderId="49" xfId="0" applyFill="1" applyBorder="1" applyAlignment="1">
      <alignment horizontal="center"/>
    </xf>
    <xf numFmtId="0" fontId="0" fillId="7" borderId="50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44" fontId="2" fillId="6" borderId="36" xfId="0" applyNumberFormat="1" applyFont="1" applyFill="1" applyBorder="1"/>
    <xf numFmtId="44" fontId="3" fillId="5" borderId="20" xfId="0" applyNumberFormat="1" applyFont="1" applyFill="1" applyBorder="1" applyAlignment="1">
      <alignment horizontal="center"/>
    </xf>
    <xf numFmtId="44" fontId="3" fillId="5" borderId="55" xfId="0" applyNumberFormat="1" applyFont="1" applyFill="1" applyBorder="1" applyAlignment="1">
      <alignment horizontal="center"/>
    </xf>
    <xf numFmtId="44" fontId="3" fillId="5" borderId="56" xfId="0" applyNumberFormat="1" applyFont="1" applyFill="1" applyBorder="1" applyAlignment="1">
      <alignment horizontal="center"/>
    </xf>
    <xf numFmtId="44" fontId="3" fillId="5" borderId="46" xfId="0" applyNumberFormat="1" applyFont="1" applyFill="1" applyBorder="1" applyAlignment="1">
      <alignment horizontal="center"/>
    </xf>
    <xf numFmtId="0" fontId="0" fillId="7" borderId="28" xfId="0" applyFill="1" applyBorder="1" applyAlignment="1">
      <alignment horizontal="center" wrapText="1"/>
    </xf>
    <xf numFmtId="0" fontId="0" fillId="7" borderId="47" xfId="0" applyFill="1" applyBorder="1" applyAlignment="1">
      <alignment horizontal="center"/>
    </xf>
    <xf numFmtId="0" fontId="3" fillId="5" borderId="20" xfId="1" applyNumberFormat="1" applyFont="1" applyFill="1" applyBorder="1" applyAlignment="1">
      <alignment horizontal="center"/>
    </xf>
    <xf numFmtId="0" fontId="3" fillId="5" borderId="21" xfId="1" applyNumberFormat="1" applyFont="1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7" borderId="48" xfId="0" applyFill="1" applyBorder="1" applyAlignment="1">
      <alignment horizontal="center"/>
    </xf>
    <xf numFmtId="0" fontId="3" fillId="5" borderId="55" xfId="1" applyNumberFormat="1" applyFont="1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57" xfId="0" applyFill="1" applyBorder="1" applyAlignment="1">
      <alignment horizontal="center"/>
    </xf>
    <xf numFmtId="0" fontId="0" fillId="7" borderId="58" xfId="0" applyFill="1" applyBorder="1" applyAlignment="1">
      <alignment horizontal="center"/>
    </xf>
    <xf numFmtId="9" fontId="0" fillId="7" borderId="59" xfId="2" applyFont="1" applyFill="1" applyBorder="1"/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44" fontId="3" fillId="4" borderId="7" xfId="0" applyNumberFormat="1" applyFont="1" applyFill="1" applyBorder="1" applyAlignment="1">
      <alignment horizontal="center"/>
    </xf>
    <xf numFmtId="44" fontId="2" fillId="4" borderId="7" xfId="0" applyNumberFormat="1" applyFont="1" applyFill="1" applyBorder="1"/>
    <xf numFmtId="9" fontId="0" fillId="4" borderId="8" xfId="2" applyFont="1" applyFill="1" applyBorder="1"/>
    <xf numFmtId="0" fontId="0" fillId="4" borderId="9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4" fontId="3" fillId="4" borderId="1" xfId="0" applyNumberFormat="1" applyFont="1" applyFill="1" applyBorder="1" applyAlignment="1">
      <alignment horizontal="center"/>
    </xf>
    <xf numFmtId="44" fontId="2" fillId="4" borderId="1" xfId="0" applyNumberFormat="1" applyFont="1" applyFill="1" applyBorder="1"/>
    <xf numFmtId="9" fontId="0" fillId="4" borderId="10" xfId="2" applyFont="1" applyFill="1" applyBorder="1"/>
    <xf numFmtId="0" fontId="3" fillId="7" borderId="14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44" fontId="5" fillId="6" borderId="52" xfId="0" applyNumberFormat="1" applyFont="1" applyFill="1" applyBorder="1"/>
    <xf numFmtId="44" fontId="5" fillId="6" borderId="54" xfId="0" applyNumberFormat="1" applyFont="1" applyFill="1" applyBorder="1"/>
    <xf numFmtId="44" fontId="5" fillId="6" borderId="53" xfId="0" applyNumberFormat="1" applyFont="1" applyFill="1" applyBorder="1"/>
    <xf numFmtId="0" fontId="3" fillId="8" borderId="14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44" fontId="3" fillId="5" borderId="58" xfId="0" applyNumberFormat="1" applyFont="1" applyFill="1" applyBorder="1" applyAlignment="1">
      <alignment horizontal="center"/>
    </xf>
    <xf numFmtId="0" fontId="3" fillId="7" borderId="57" xfId="0" applyFont="1" applyFill="1" applyBorder="1" applyAlignment="1">
      <alignment horizontal="center" vertical="center"/>
    </xf>
    <xf numFmtId="44" fontId="0" fillId="0" borderId="10" xfId="0" applyNumberFormat="1" applyBorder="1"/>
    <xf numFmtId="44" fontId="0" fillId="0" borderId="53" xfId="0" applyNumberFormat="1" applyBorder="1"/>
    <xf numFmtId="0" fontId="3" fillId="4" borderId="33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38" xfId="0" applyFont="1" applyFill="1" applyBorder="1" applyAlignment="1">
      <alignment vertical="center"/>
    </xf>
    <xf numFmtId="0" fontId="4" fillId="4" borderId="31" xfId="0" applyFont="1" applyFill="1" applyBorder="1"/>
    <xf numFmtId="0" fontId="4" fillId="4" borderId="26" xfId="0" applyFont="1" applyFill="1" applyBorder="1"/>
    <xf numFmtId="0" fontId="4" fillId="4" borderId="30" xfId="0" applyFont="1" applyFill="1" applyBorder="1"/>
    <xf numFmtId="44" fontId="0" fillId="0" borderId="8" xfId="0" applyNumberFormat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0" fillId="0" borderId="13" xfId="0" applyNumberFormat="1" applyBorder="1"/>
    <xf numFmtId="0" fontId="2" fillId="0" borderId="3" xfId="0" applyFont="1" applyBorder="1" applyAlignment="1">
      <alignment horizontal="center"/>
    </xf>
    <xf numFmtId="44" fontId="0" fillId="0" borderId="5" xfId="0" applyNumberFormat="1" applyBorder="1"/>
    <xf numFmtId="44" fontId="0" fillId="0" borderId="52" xfId="0" applyNumberFormat="1" applyBorder="1"/>
    <xf numFmtId="44" fontId="0" fillId="0" borderId="60" xfId="0" applyNumberFormat="1" applyBorder="1"/>
    <xf numFmtId="44" fontId="0" fillId="0" borderId="36" xfId="0" applyNumberFormat="1" applyBorder="1"/>
    <xf numFmtId="0" fontId="2" fillId="0" borderId="8" xfId="0" applyFont="1" applyBorder="1"/>
    <xf numFmtId="0" fontId="2" fillId="0" borderId="10" xfId="0" applyFont="1" applyBorder="1"/>
    <xf numFmtId="0" fontId="2" fillId="0" borderId="13" xfId="0" applyFont="1" applyBorder="1"/>
    <xf numFmtId="0" fontId="2" fillId="0" borderId="5" xfId="0" applyFont="1" applyBorder="1"/>
    <xf numFmtId="0" fontId="2" fillId="0" borderId="51" xfId="0" applyFont="1" applyBorder="1" applyAlignment="1">
      <alignment horizontal="center" wrapText="1"/>
    </xf>
    <xf numFmtId="10" fontId="0" fillId="0" borderId="0" xfId="2" applyNumberFormat="1" applyFont="1"/>
    <xf numFmtId="44" fontId="3" fillId="5" borderId="1" xfId="0" applyNumberFormat="1" applyFont="1" applyFill="1" applyBorder="1" applyAlignment="1">
      <alignment wrapText="1"/>
    </xf>
    <xf numFmtId="0" fontId="2" fillId="6" borderId="5" xfId="0" applyFont="1" applyFill="1" applyBorder="1" applyAlignment="1">
      <alignment horizontal="center" wrapText="1"/>
    </xf>
    <xf numFmtId="44" fontId="2" fillId="6" borderId="8" xfId="0" applyNumberFormat="1" applyFont="1" applyFill="1" applyBorder="1" applyAlignment="1">
      <alignment wrapText="1"/>
    </xf>
    <xf numFmtId="44" fontId="2" fillId="6" borderId="10" xfId="0" applyNumberFormat="1" applyFont="1" applyFill="1" applyBorder="1" applyAlignment="1">
      <alignment wrapText="1"/>
    </xf>
    <xf numFmtId="44" fontId="2" fillId="6" borderId="13" xfId="0" applyNumberFormat="1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3" borderId="5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44" fontId="2" fillId="6" borderId="61" xfId="0" applyNumberFormat="1" applyFont="1" applyFill="1" applyBorder="1"/>
    <xf numFmtId="0" fontId="2" fillId="4" borderId="62" xfId="0" applyFont="1" applyFill="1" applyBorder="1" applyAlignment="1">
      <alignment horizontal="center" vertical="center" wrapText="1"/>
    </xf>
    <xf numFmtId="44" fontId="0" fillId="7" borderId="15" xfId="1" applyFont="1" applyFill="1" applyBorder="1"/>
    <xf numFmtId="44" fontId="0" fillId="7" borderId="10" xfId="1" applyFont="1" applyFill="1" applyBorder="1"/>
    <xf numFmtId="44" fontId="0" fillId="7" borderId="59" xfId="1" applyFont="1" applyFill="1" applyBorder="1"/>
    <xf numFmtId="0" fontId="3" fillId="8" borderId="51" xfId="0" applyFont="1" applyFill="1" applyBorder="1" applyAlignment="1">
      <alignment horizontal="center" vertical="center" wrapText="1"/>
    </xf>
    <xf numFmtId="0" fontId="0" fillId="7" borderId="61" xfId="0" applyFill="1" applyBorder="1" applyAlignment="1">
      <alignment horizontal="center"/>
    </xf>
    <xf numFmtId="0" fontId="3" fillId="8" borderId="62" xfId="0" applyFont="1" applyFill="1" applyBorder="1" applyAlignment="1">
      <alignment horizontal="center" vertical="center" wrapText="1"/>
    </xf>
    <xf numFmtId="44" fontId="0" fillId="7" borderId="61" xfId="1" applyFont="1" applyFill="1" applyBorder="1" applyAlignment="1">
      <alignment horizontal="center"/>
    </xf>
    <xf numFmtId="44" fontId="0" fillId="7" borderId="50" xfId="1" applyFont="1" applyFill="1" applyBorder="1" applyAlignment="1">
      <alignment horizontal="center"/>
    </xf>
    <xf numFmtId="44" fontId="0" fillId="7" borderId="45" xfId="1" applyFont="1" applyFill="1" applyBorder="1" applyAlignment="1">
      <alignment horizontal="center"/>
    </xf>
    <xf numFmtId="44" fontId="2" fillId="0" borderId="0" xfId="0" applyNumberFormat="1" applyFont="1" applyAlignment="1">
      <alignment wrapText="1"/>
    </xf>
    <xf numFmtId="44" fontId="6" fillId="5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3" fillId="5" borderId="4" xfId="0" applyFont="1" applyFill="1" applyBorder="1" applyAlignment="1">
      <alignment horizontal="center" wrapText="1"/>
    </xf>
    <xf numFmtId="44" fontId="3" fillId="5" borderId="7" xfId="0" applyNumberFormat="1" applyFont="1" applyFill="1" applyBorder="1" applyAlignment="1">
      <alignment wrapText="1"/>
    </xf>
    <xf numFmtId="44" fontId="6" fillId="5" borderId="7" xfId="0" applyNumberFormat="1" applyFont="1" applyFill="1" applyBorder="1" applyAlignment="1">
      <alignment wrapText="1"/>
    </xf>
    <xf numFmtId="44" fontId="3" fillId="5" borderId="12" xfId="0" applyNumberFormat="1" applyFont="1" applyFill="1" applyBorder="1" applyAlignment="1">
      <alignment wrapText="1"/>
    </xf>
    <xf numFmtId="44" fontId="6" fillId="5" borderId="12" xfId="0" applyNumberFormat="1" applyFont="1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12" xfId="0" applyFill="1" applyBorder="1" applyAlignment="1">
      <alignment wrapText="1"/>
    </xf>
    <xf numFmtId="44" fontId="0" fillId="7" borderId="1" xfId="1" applyFont="1" applyFill="1" applyBorder="1" applyAlignment="1">
      <alignment horizontal="center"/>
    </xf>
    <xf numFmtId="2" fontId="0" fillId="7" borderId="2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7" borderId="58" xfId="0" applyNumberFormat="1" applyFill="1" applyBorder="1" applyAlignment="1">
      <alignment horizontal="center"/>
    </xf>
    <xf numFmtId="0" fontId="0" fillId="4" borderId="34" xfId="0" applyFill="1" applyBorder="1"/>
    <xf numFmtId="0" fontId="0" fillId="4" borderId="35" xfId="0" applyFill="1" applyBorder="1"/>
    <xf numFmtId="0" fontId="0" fillId="4" borderId="37" xfId="0" applyFill="1" applyBorder="1"/>
    <xf numFmtId="44" fontId="2" fillId="6" borderId="58" xfId="0" applyNumberFormat="1" applyFont="1" applyFill="1" applyBorder="1"/>
    <xf numFmtId="44" fontId="2" fillId="6" borderId="64" xfId="0" applyNumberFormat="1" applyFont="1" applyFill="1" applyBorder="1"/>
    <xf numFmtId="0" fontId="0" fillId="0" borderId="1" xfId="0" applyBorder="1"/>
    <xf numFmtId="44" fontId="0" fillId="0" borderId="9" xfId="1" applyFont="1" applyBorder="1"/>
    <xf numFmtId="44" fontId="0" fillId="0" borderId="11" xfId="1" applyFont="1" applyBorder="1"/>
    <xf numFmtId="0" fontId="0" fillId="0" borderId="12" xfId="0" applyBorder="1"/>
    <xf numFmtId="44" fontId="0" fillId="0" borderId="14" xfId="1" applyFont="1" applyBorder="1"/>
    <xf numFmtId="0" fontId="0" fillId="0" borderId="2" xfId="0" applyBorder="1"/>
    <xf numFmtId="44" fontId="0" fillId="0" borderId="15" xfId="0" applyNumberFormat="1" applyBorder="1"/>
    <xf numFmtId="0" fontId="0" fillId="0" borderId="2" xfId="0" applyBorder="1" applyAlignment="1">
      <alignment horizontal="right"/>
    </xf>
    <xf numFmtId="9" fontId="0" fillId="0" borderId="15" xfId="0" applyNumberFormat="1" applyBorder="1" applyAlignment="1">
      <alignment horizontal="right"/>
    </xf>
    <xf numFmtId="0" fontId="2" fillId="3" borderId="11" xfId="0" applyFont="1" applyFill="1" applyBorder="1"/>
    <xf numFmtId="0" fontId="2" fillId="3" borderId="12" xfId="0" applyFont="1" applyFill="1" applyBorder="1"/>
    <xf numFmtId="0" fontId="2" fillId="3" borderId="13" xfId="0" applyFont="1" applyFill="1" applyBorder="1"/>
    <xf numFmtId="44" fontId="0" fillId="9" borderId="2" xfId="1" applyFont="1" applyFill="1" applyBorder="1"/>
    <xf numFmtId="44" fontId="0" fillId="9" borderId="1" xfId="1" applyFont="1" applyFill="1" applyBorder="1"/>
    <xf numFmtId="44" fontId="0" fillId="9" borderId="12" xfId="1" applyFont="1" applyFill="1" applyBorder="1"/>
    <xf numFmtId="9" fontId="0" fillId="9" borderId="2" xfId="0" applyNumberFormat="1" applyFill="1" applyBorder="1" applyAlignment="1">
      <alignment horizontal="right"/>
    </xf>
    <xf numFmtId="44" fontId="0" fillId="9" borderId="12" xfId="0" applyNumberFormat="1" applyFill="1" applyBorder="1"/>
    <xf numFmtId="44" fontId="0" fillId="0" borderId="0" xfId="1" applyFont="1" applyBorder="1"/>
    <xf numFmtId="10" fontId="2" fillId="0" borderId="0" xfId="2" applyNumberFormat="1" applyFont="1" applyAlignment="1">
      <alignment wrapText="1"/>
    </xf>
    <xf numFmtId="0" fontId="0" fillId="4" borderId="33" xfId="0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38" xfId="0" applyFill="1" applyBorder="1" applyAlignment="1">
      <alignment horizontal="center"/>
    </xf>
    <xf numFmtId="0" fontId="3" fillId="4" borderId="32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9" fontId="2" fillId="0" borderId="0" xfId="0" applyNumberFormat="1" applyFont="1"/>
    <xf numFmtId="44" fontId="3" fillId="5" borderId="1" xfId="0" applyNumberFormat="1" applyFont="1" applyFill="1" applyBorder="1" applyAlignment="1">
      <alignment horizontal="center"/>
    </xf>
    <xf numFmtId="0" fontId="2" fillId="3" borderId="42" xfId="0" applyFont="1" applyFill="1" applyBorder="1" applyAlignment="1">
      <alignment wrapText="1"/>
    </xf>
    <xf numFmtId="0" fontId="2" fillId="3" borderId="62" xfId="0" applyFont="1" applyFill="1" applyBorder="1" applyAlignment="1">
      <alignment horizontal="center" wrapText="1"/>
    </xf>
    <xf numFmtId="0" fontId="2" fillId="3" borderId="43" xfId="0" applyFont="1" applyFill="1" applyBorder="1" applyAlignment="1">
      <alignment horizontal="center" wrapText="1"/>
    </xf>
    <xf numFmtId="0" fontId="3" fillId="5" borderId="43" xfId="0" applyFont="1" applyFill="1" applyBorder="1" applyAlignment="1">
      <alignment horizontal="center" wrapText="1"/>
    </xf>
    <xf numFmtId="0" fontId="2" fillId="6" borderId="44" xfId="0" applyFont="1" applyFill="1" applyBorder="1" applyAlignment="1">
      <alignment horizontal="center" wrapText="1"/>
    </xf>
    <xf numFmtId="44" fontId="2" fillId="6" borderId="1" xfId="0" applyNumberFormat="1" applyFont="1" applyFill="1" applyBorder="1"/>
    <xf numFmtId="44" fontId="2" fillId="6" borderId="50" xfId="0" applyNumberFormat="1" applyFont="1" applyFill="1" applyBorder="1"/>
    <xf numFmtId="0" fontId="3" fillId="7" borderId="9" xfId="0" applyFont="1" applyFill="1" applyBorder="1" applyAlignment="1">
      <alignment horizontal="center" vertical="center"/>
    </xf>
    <xf numFmtId="0" fontId="0" fillId="3" borderId="58" xfId="0" applyFill="1" applyBorder="1" applyAlignment="1">
      <alignment wrapText="1"/>
    </xf>
    <xf numFmtId="44" fontId="3" fillId="5" borderId="58" xfId="0" applyNumberFormat="1" applyFont="1" applyFill="1" applyBorder="1" applyAlignment="1">
      <alignment wrapText="1"/>
    </xf>
    <xf numFmtId="44" fontId="6" fillId="5" borderId="58" xfId="0" applyNumberFormat="1" applyFont="1" applyFill="1" applyBorder="1" applyAlignment="1">
      <alignment wrapText="1"/>
    </xf>
    <xf numFmtId="44" fontId="2" fillId="6" borderId="59" xfId="0" applyNumberFormat="1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44" fontId="3" fillId="5" borderId="59" xfId="1" applyFont="1" applyFill="1" applyBorder="1"/>
    <xf numFmtId="0" fontId="3" fillId="10" borderId="7" xfId="0" applyFont="1" applyFill="1" applyBorder="1" applyAlignment="1">
      <alignment horizontal="center" vertical="center" wrapText="1"/>
    </xf>
    <xf numFmtId="44" fontId="3" fillId="10" borderId="2" xfId="0" applyNumberFormat="1" applyFont="1" applyFill="1" applyBorder="1"/>
    <xf numFmtId="0" fontId="3" fillId="7" borderId="32" xfId="0" applyFont="1" applyFill="1" applyBorder="1" applyAlignment="1">
      <alignment horizontal="center" vertical="center"/>
    </xf>
    <xf numFmtId="44" fontId="2" fillId="6" borderId="40" xfId="0" applyNumberFormat="1" applyFont="1" applyFill="1" applyBorder="1"/>
    <xf numFmtId="0" fontId="3" fillId="7" borderId="1" xfId="0" applyFont="1" applyFill="1" applyBorder="1" applyAlignment="1">
      <alignment horizontal="center" vertical="center"/>
    </xf>
    <xf numFmtId="9" fontId="0" fillId="7" borderId="1" xfId="2" applyFont="1" applyFill="1" applyBorder="1"/>
    <xf numFmtId="44" fontId="3" fillId="5" borderId="7" xfId="1" applyFont="1" applyFill="1" applyBorder="1" applyAlignment="1">
      <alignment wrapText="1"/>
    </xf>
    <xf numFmtId="44" fontId="2" fillId="6" borderId="8" xfId="1" applyFont="1" applyFill="1" applyBorder="1" applyAlignment="1">
      <alignment wrapText="1"/>
    </xf>
    <xf numFmtId="0" fontId="2" fillId="4" borderId="0" xfId="0" applyFont="1" applyFill="1"/>
    <xf numFmtId="0" fontId="3" fillId="11" borderId="43" xfId="0" applyFont="1" applyFill="1" applyBorder="1" applyAlignment="1">
      <alignment horizontal="center" wrapText="1"/>
    </xf>
    <xf numFmtId="44" fontId="3" fillId="11" borderId="7" xfId="0" applyNumberFormat="1" applyFont="1" applyFill="1" applyBorder="1" applyAlignment="1">
      <alignment wrapText="1"/>
    </xf>
    <xf numFmtId="44" fontId="6" fillId="11" borderId="7" xfId="0" applyNumberFormat="1" applyFont="1" applyFill="1" applyBorder="1" applyAlignment="1">
      <alignment wrapText="1"/>
    </xf>
    <xf numFmtId="44" fontId="3" fillId="11" borderId="1" xfId="0" applyNumberFormat="1" applyFont="1" applyFill="1" applyBorder="1" applyAlignment="1">
      <alignment wrapText="1"/>
    </xf>
    <xf numFmtId="44" fontId="6" fillId="11" borderId="1" xfId="0" applyNumberFormat="1" applyFont="1" applyFill="1" applyBorder="1" applyAlignment="1">
      <alignment wrapText="1"/>
    </xf>
    <xf numFmtId="44" fontId="3" fillId="11" borderId="12" xfId="0" applyNumberFormat="1" applyFont="1" applyFill="1" applyBorder="1" applyAlignment="1">
      <alignment wrapText="1"/>
    </xf>
    <xf numFmtId="44" fontId="6" fillId="11" borderId="12" xfId="0" applyNumberFormat="1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3" fillId="11" borderId="4" xfId="0" applyFont="1" applyFill="1" applyBorder="1" applyAlignment="1">
      <alignment horizontal="center" wrapText="1"/>
    </xf>
    <xf numFmtId="44" fontId="3" fillId="11" borderId="58" xfId="0" applyNumberFormat="1" applyFont="1" applyFill="1" applyBorder="1" applyAlignment="1">
      <alignment wrapText="1"/>
    </xf>
    <xf numFmtId="44" fontId="6" fillId="11" borderId="58" xfId="0" applyNumberFormat="1" applyFont="1" applyFill="1" applyBorder="1" applyAlignment="1">
      <alignment wrapText="1"/>
    </xf>
    <xf numFmtId="44" fontId="0" fillId="0" borderId="0" xfId="0" applyNumberFormat="1" applyAlignment="1">
      <alignment horizontal="center"/>
    </xf>
    <xf numFmtId="165" fontId="0" fillId="7" borderId="8" xfId="2" applyNumberFormat="1" applyFont="1" applyFill="1" applyBorder="1"/>
    <xf numFmtId="165" fontId="0" fillId="7" borderId="10" xfId="2" applyNumberFormat="1" applyFont="1" applyFill="1" applyBorder="1"/>
    <xf numFmtId="165" fontId="0" fillId="7" borderId="24" xfId="2" applyNumberFormat="1" applyFont="1" applyFill="1" applyBorder="1"/>
    <xf numFmtId="0" fontId="2" fillId="7" borderId="23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44" fontId="2" fillId="7" borderId="45" xfId="1" applyFont="1" applyFill="1" applyBorder="1" applyAlignment="1">
      <alignment horizontal="center"/>
    </xf>
    <xf numFmtId="44" fontId="0" fillId="7" borderId="68" xfId="1" applyFont="1" applyFill="1" applyBorder="1" applyAlignment="1">
      <alignment horizontal="center"/>
    </xf>
    <xf numFmtId="44" fontId="2" fillId="7" borderId="1" xfId="1" applyFont="1" applyFill="1" applyBorder="1" applyAlignment="1">
      <alignment horizontal="center"/>
    </xf>
    <xf numFmtId="44" fontId="2" fillId="0" borderId="0" xfId="0" applyNumberFormat="1" applyFont="1"/>
    <xf numFmtId="49" fontId="0" fillId="0" borderId="0" xfId="0" applyNumberFormat="1" applyAlignment="1">
      <alignment horizontal="center"/>
    </xf>
    <xf numFmtId="44" fontId="0" fillId="0" borderId="0" xfId="0" applyNumberFormat="1" applyAlignment="1">
      <alignment wrapText="1"/>
    </xf>
    <xf numFmtId="44" fontId="1" fillId="0" borderId="0" xfId="1" applyFont="1"/>
    <xf numFmtId="0" fontId="2" fillId="2" borderId="16" xfId="0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6" xfId="0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7" borderId="28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7" borderId="3" xfId="0" applyFont="1" applyFill="1" applyBorder="1" applyAlignment="1">
      <alignment horizontal="right"/>
    </xf>
    <xf numFmtId="0" fontId="2" fillId="7" borderId="51" xfId="0" applyFont="1" applyFill="1" applyBorder="1" applyAlignment="1">
      <alignment horizontal="right"/>
    </xf>
    <xf numFmtId="0" fontId="4" fillId="4" borderId="31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3" fillId="8" borderId="3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3" fillId="8" borderId="42" xfId="0" applyFont="1" applyFill="1" applyBorder="1" applyAlignment="1">
      <alignment horizontal="center" vertical="center"/>
    </xf>
    <xf numFmtId="0" fontId="3" fillId="8" borderId="43" xfId="0" applyFont="1" applyFill="1" applyBorder="1" applyAlignment="1">
      <alignment horizontal="center" vertical="center"/>
    </xf>
    <xf numFmtId="0" fontId="3" fillId="8" borderId="44" xfId="0" applyFont="1" applyFill="1" applyBorder="1" applyAlignment="1">
      <alignment horizontal="center" vertical="center"/>
    </xf>
    <xf numFmtId="0" fontId="0" fillId="4" borderId="38" xfId="0" applyFill="1" applyBorder="1" applyAlignment="1">
      <alignment horizontal="center"/>
    </xf>
    <xf numFmtId="44" fontId="3" fillId="5" borderId="33" xfId="1" applyFont="1" applyFill="1" applyBorder="1" applyAlignment="1">
      <alignment horizontal="center" vertical="center"/>
    </xf>
    <xf numFmtId="44" fontId="3" fillId="5" borderId="38" xfId="1" applyFon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49" fontId="0" fillId="0" borderId="0" xfId="0" applyNumberFormat="1" applyAlignment="1">
      <alignment horizontal="left" vertical="top" wrapText="1"/>
    </xf>
    <xf numFmtId="0" fontId="3" fillId="8" borderId="28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8" borderId="62" xfId="0" applyFont="1" applyFill="1" applyBorder="1" applyAlignment="1">
      <alignment horizontal="center" vertical="center"/>
    </xf>
    <xf numFmtId="0" fontId="0" fillId="4" borderId="39" xfId="0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3" fillId="8" borderId="52" xfId="0" applyFont="1" applyFill="1" applyBorder="1" applyAlignment="1">
      <alignment horizontal="center" vertical="center" wrapText="1"/>
    </xf>
    <xf numFmtId="0" fontId="0" fillId="7" borderId="47" xfId="0" applyFill="1" applyBorder="1" applyAlignment="1">
      <alignment horizontal="center"/>
    </xf>
    <xf numFmtId="0" fontId="0" fillId="7" borderId="63" xfId="0" applyFill="1" applyBorder="1" applyAlignment="1">
      <alignment horizontal="center"/>
    </xf>
    <xf numFmtId="0" fontId="0" fillId="7" borderId="60" xfId="0" applyFill="1" applyBorder="1" applyAlignment="1">
      <alignment horizontal="center"/>
    </xf>
    <xf numFmtId="0" fontId="2" fillId="3" borderId="65" xfId="0" applyFont="1" applyFill="1" applyBorder="1" applyAlignment="1">
      <alignment horizontal="center" vertical="center" wrapText="1"/>
    </xf>
    <xf numFmtId="0" fontId="2" fillId="3" borderId="66" xfId="0" applyFont="1" applyFill="1" applyBorder="1" applyAlignment="1">
      <alignment horizontal="center" vertical="center" wrapText="1"/>
    </xf>
    <xf numFmtId="0" fontId="2" fillId="3" borderId="67" xfId="0" applyFont="1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57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3" fillId="8" borderId="4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44" fontId="7" fillId="3" borderId="6" xfId="1" applyFont="1" applyFill="1" applyBorder="1" applyAlignment="1">
      <alignment horizontal="center"/>
    </xf>
    <xf numFmtId="44" fontId="7" fillId="3" borderId="7" xfId="1" applyFont="1" applyFill="1" applyBorder="1" applyAlignment="1">
      <alignment horizontal="center"/>
    </xf>
    <xf numFmtId="44" fontId="7" fillId="3" borderId="8" xfId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4" fontId="0" fillId="0" borderId="69" xfId="1" applyFont="1" applyBorder="1"/>
    <xf numFmtId="44" fontId="0" fillId="0" borderId="69" xfId="0" applyNumberFormat="1" applyBorder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66FF"/>
      <color rgb="FF00FF00"/>
      <color rgb="FF003300"/>
      <color rgb="FFFF33CC"/>
      <color rgb="FF00CC00"/>
      <color rgb="FF33CC33"/>
      <color rgb="FF0086EA"/>
      <color rgb="FFFFCC00"/>
      <color rgb="FF3366FF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F04A-4A34-472C-8C1D-A4A7E9A16761}">
  <dimension ref="B1:O12"/>
  <sheetViews>
    <sheetView workbookViewId="0">
      <selection activeCell="G21" sqref="G21"/>
    </sheetView>
  </sheetViews>
  <sheetFormatPr defaultRowHeight="14.4" x14ac:dyDescent="0.3"/>
  <cols>
    <col min="1" max="1" width="2.77734375" customWidth="1"/>
    <col min="2" max="2" width="11.44140625" bestFit="1" customWidth="1"/>
    <col min="3" max="3" width="8.21875" customWidth="1"/>
    <col min="4" max="4" width="8.44140625" style="1" customWidth="1"/>
    <col min="5" max="5" width="2.77734375" customWidth="1"/>
    <col min="6" max="6" width="8" bestFit="1" customWidth="1"/>
    <col min="7" max="7" width="11.44140625" bestFit="1" customWidth="1"/>
    <col min="8" max="8" width="8.44140625" customWidth="1"/>
    <col min="9" max="9" width="9.44140625" bestFit="1" customWidth="1"/>
    <col min="10" max="10" width="12.44140625" customWidth="1"/>
    <col min="11" max="11" width="12.44140625" bestFit="1" customWidth="1"/>
    <col min="12" max="12" width="8.33203125" bestFit="1" customWidth="1"/>
    <col min="13" max="13" width="2.77734375" customWidth="1"/>
    <col min="14" max="14" width="17.5546875" bestFit="1" customWidth="1"/>
    <col min="15" max="15" width="7.6640625" style="1" bestFit="1" customWidth="1"/>
  </cols>
  <sheetData>
    <row r="1" spans="2:15" s="2" customFormat="1" ht="15" thickBot="1" x14ac:dyDescent="0.35">
      <c r="B1" s="271" t="s">
        <v>13</v>
      </c>
      <c r="C1" s="272"/>
      <c r="D1" s="273"/>
      <c r="F1" s="276" t="s">
        <v>8</v>
      </c>
      <c r="G1" s="277"/>
      <c r="H1" s="277"/>
      <c r="I1" s="277"/>
      <c r="J1" s="277"/>
      <c r="K1" s="277"/>
      <c r="L1" s="278"/>
      <c r="M1" s="36"/>
      <c r="N1" s="274" t="s">
        <v>15</v>
      </c>
      <c r="O1" s="275"/>
    </row>
    <row r="2" spans="2:15" s="3" customFormat="1" ht="29.4" thickBot="1" x14ac:dyDescent="0.35">
      <c r="B2" s="25" t="s">
        <v>0</v>
      </c>
      <c r="C2" s="26" t="s">
        <v>6</v>
      </c>
      <c r="D2" s="27" t="s">
        <v>1</v>
      </c>
      <c r="F2" s="30" t="s">
        <v>5</v>
      </c>
      <c r="G2" s="31" t="s">
        <v>0</v>
      </c>
      <c r="H2" s="31" t="s">
        <v>6</v>
      </c>
      <c r="I2" s="31" t="s">
        <v>4</v>
      </c>
      <c r="J2" s="31" t="s">
        <v>10</v>
      </c>
      <c r="K2" s="31" t="s">
        <v>11</v>
      </c>
      <c r="L2" s="32" t="s">
        <v>7</v>
      </c>
      <c r="M2" s="33"/>
      <c r="N2" s="28" t="s">
        <v>2</v>
      </c>
      <c r="O2" s="38">
        <v>25</v>
      </c>
    </row>
    <row r="3" spans="2:15" ht="15" thickBot="1" x14ac:dyDescent="0.35">
      <c r="B3" s="11">
        <v>30</v>
      </c>
      <c r="C3" s="12">
        <v>1</v>
      </c>
      <c r="D3" s="34">
        <v>17</v>
      </c>
      <c r="F3" s="11">
        <v>1</v>
      </c>
      <c r="G3" s="12">
        <v>30</v>
      </c>
      <c r="H3" s="12">
        <v>4</v>
      </c>
      <c r="I3" s="12">
        <v>6</v>
      </c>
      <c r="J3" s="14">
        <f>SUM(D4,(D11*I3))</f>
        <v>94.5</v>
      </c>
      <c r="K3" s="15">
        <f>J3*(1-L3)</f>
        <v>89.774999999999991</v>
      </c>
      <c r="L3" s="19">
        <v>0.05</v>
      </c>
      <c r="N3" s="29" t="s">
        <v>3</v>
      </c>
      <c r="O3" s="13">
        <v>15</v>
      </c>
    </row>
    <row r="4" spans="2:15" x14ac:dyDescent="0.3">
      <c r="B4" s="8">
        <v>30</v>
      </c>
      <c r="C4" s="37">
        <v>4</v>
      </c>
      <c r="D4" s="6">
        <v>64.5</v>
      </c>
      <c r="F4" s="8">
        <v>2</v>
      </c>
      <c r="G4" s="37">
        <v>30</v>
      </c>
      <c r="H4" s="37">
        <v>8</v>
      </c>
      <c r="I4" s="37">
        <v>6</v>
      </c>
      <c r="J4" s="5">
        <f>SUM(D5,(D11*I4))</f>
        <v>150</v>
      </c>
      <c r="K4" s="4">
        <f>J4*(1-L4)</f>
        <v>142.5</v>
      </c>
      <c r="L4" s="20">
        <v>0.05</v>
      </c>
      <c r="O4" s="39"/>
    </row>
    <row r="5" spans="2:15" ht="15" thickBot="1" x14ac:dyDescent="0.35">
      <c r="B5" s="9">
        <v>30</v>
      </c>
      <c r="C5" s="10">
        <v>8</v>
      </c>
      <c r="D5" s="35">
        <v>120</v>
      </c>
      <c r="F5" s="8">
        <v>3</v>
      </c>
      <c r="G5" s="37">
        <v>60</v>
      </c>
      <c r="H5" s="37">
        <v>4</v>
      </c>
      <c r="I5" s="37">
        <v>6</v>
      </c>
      <c r="J5" s="5">
        <f>SUM(D7,(D11*I5))</f>
        <v>145.5</v>
      </c>
      <c r="K5" s="4">
        <f>J5*(1-L5)</f>
        <v>138.22499999999999</v>
      </c>
      <c r="L5" s="20">
        <v>0.05</v>
      </c>
    </row>
    <row r="6" spans="2:15" ht="15" thickBot="1" x14ac:dyDescent="0.35">
      <c r="B6" s="11">
        <v>60</v>
      </c>
      <c r="C6" s="12">
        <v>1</v>
      </c>
      <c r="D6" s="34">
        <v>30</v>
      </c>
      <c r="F6" s="21">
        <v>4</v>
      </c>
      <c r="G6" s="16">
        <v>60</v>
      </c>
      <c r="H6" s="16">
        <v>8</v>
      </c>
      <c r="I6" s="16">
        <v>6</v>
      </c>
      <c r="J6" s="17">
        <f>SUM(D8,(D11*I6))</f>
        <v>252.5</v>
      </c>
      <c r="K6" s="18">
        <f>J6*(1-L6)</f>
        <v>239.875</v>
      </c>
      <c r="L6" s="22">
        <v>0.05</v>
      </c>
    </row>
    <row r="7" spans="2:15" x14ac:dyDescent="0.3">
      <c r="B7" s="8">
        <v>60</v>
      </c>
      <c r="C7" s="37">
        <v>4</v>
      </c>
      <c r="D7" s="6">
        <v>115.5</v>
      </c>
      <c r="F7" s="279" t="s">
        <v>9</v>
      </c>
      <c r="G7" s="280"/>
      <c r="H7" s="280"/>
      <c r="I7" s="280"/>
      <c r="J7" s="280"/>
      <c r="K7" s="280"/>
      <c r="L7" s="281"/>
    </row>
    <row r="8" spans="2:15" ht="29.4" thickBot="1" x14ac:dyDescent="0.35">
      <c r="B8" s="9">
        <v>60</v>
      </c>
      <c r="C8" s="10">
        <v>8</v>
      </c>
      <c r="D8" s="35">
        <v>222.5</v>
      </c>
      <c r="F8" s="30" t="s">
        <v>5</v>
      </c>
      <c r="G8" s="31" t="s">
        <v>0</v>
      </c>
      <c r="H8" s="31" t="s">
        <v>6</v>
      </c>
      <c r="I8" s="31" t="s">
        <v>4</v>
      </c>
      <c r="J8" s="31" t="s">
        <v>10</v>
      </c>
      <c r="K8" s="31" t="s">
        <v>11</v>
      </c>
      <c r="L8" s="32" t="s">
        <v>7</v>
      </c>
    </row>
    <row r="9" spans="2:15" ht="15" thickBot="1" x14ac:dyDescent="0.35">
      <c r="B9" s="271" t="s">
        <v>4</v>
      </c>
      <c r="C9" s="272"/>
      <c r="D9" s="273"/>
      <c r="F9" s="11">
        <v>5</v>
      </c>
      <c r="G9" s="12">
        <v>30</v>
      </c>
      <c r="H9" s="12">
        <v>4</v>
      </c>
      <c r="I9" s="12">
        <v>12</v>
      </c>
      <c r="J9" s="14">
        <f>SUM(D4,(D11*I9))</f>
        <v>124.5</v>
      </c>
      <c r="K9" s="15">
        <f>J9*(1-L9)</f>
        <v>112.05</v>
      </c>
      <c r="L9" s="19">
        <v>0.1</v>
      </c>
    </row>
    <row r="10" spans="2:15" ht="15" thickBot="1" x14ac:dyDescent="0.35">
      <c r="B10" s="267" t="s">
        <v>0</v>
      </c>
      <c r="C10" s="268"/>
      <c r="D10" s="27" t="s">
        <v>14</v>
      </c>
      <c r="F10" s="8">
        <v>6</v>
      </c>
      <c r="G10" s="37">
        <v>30</v>
      </c>
      <c r="H10" s="37">
        <v>8</v>
      </c>
      <c r="I10" s="37">
        <v>12</v>
      </c>
      <c r="J10" s="5">
        <f>SUM(D5,(D11*I10))</f>
        <v>180</v>
      </c>
      <c r="K10" s="4">
        <f>J10*(1-L10)</f>
        <v>162</v>
      </c>
      <c r="L10" s="20">
        <v>0.1</v>
      </c>
    </row>
    <row r="11" spans="2:15" ht="15" thickBot="1" x14ac:dyDescent="0.35">
      <c r="B11" s="269">
        <v>10</v>
      </c>
      <c r="C11" s="270"/>
      <c r="D11" s="40">
        <v>5</v>
      </c>
      <c r="F11" s="8">
        <v>7</v>
      </c>
      <c r="G11" s="37">
        <v>60</v>
      </c>
      <c r="H11" s="37">
        <v>4</v>
      </c>
      <c r="I11" s="37">
        <v>12</v>
      </c>
      <c r="J11" s="5">
        <f>SUM(D7,(D11*I11))</f>
        <v>175.5</v>
      </c>
      <c r="K11" s="4">
        <f>J11*(1-L11)</f>
        <v>157.95000000000002</v>
      </c>
      <c r="L11" s="20">
        <v>0.1</v>
      </c>
    </row>
    <row r="12" spans="2:15" ht="15" thickBot="1" x14ac:dyDescent="0.35">
      <c r="F12" s="9">
        <v>8</v>
      </c>
      <c r="G12" s="10">
        <v>60</v>
      </c>
      <c r="H12" s="10">
        <v>8</v>
      </c>
      <c r="I12" s="10">
        <v>12</v>
      </c>
      <c r="J12" s="23">
        <f>SUM(D8,(D11*I12))</f>
        <v>282.5</v>
      </c>
      <c r="K12" s="7">
        <f>J12*(1-L12)</f>
        <v>254.25</v>
      </c>
      <c r="L12" s="24">
        <v>0.1</v>
      </c>
    </row>
  </sheetData>
  <mergeCells count="7">
    <mergeCell ref="B10:C10"/>
    <mergeCell ref="B11:C11"/>
    <mergeCell ref="B1:D1"/>
    <mergeCell ref="N1:O1"/>
    <mergeCell ref="F1:L1"/>
    <mergeCell ref="F7:L7"/>
    <mergeCell ref="B9:D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1FA31-3402-4447-86F4-E73DE74FCF77}">
  <dimension ref="A1:V82"/>
  <sheetViews>
    <sheetView topLeftCell="A3" zoomScaleNormal="100" workbookViewId="0">
      <selection activeCell="R41" sqref="R41"/>
    </sheetView>
  </sheetViews>
  <sheetFormatPr defaultRowHeight="14.4" x14ac:dyDescent="0.3"/>
  <cols>
    <col min="1" max="1" width="2.77734375" customWidth="1"/>
    <col min="2" max="2" width="29.109375" bestFit="1" customWidth="1"/>
    <col min="3" max="3" width="10.5546875" style="1" bestFit="1" customWidth="1"/>
    <col min="4" max="4" width="2.77734375" customWidth="1"/>
    <col min="5" max="5" width="10.33203125" customWidth="1"/>
    <col min="6" max="6" width="15.44140625" bestFit="1" customWidth="1"/>
    <col min="7" max="7" width="8.88671875" bestFit="1" customWidth="1"/>
    <col min="8" max="8" width="16.33203125" bestFit="1" customWidth="1"/>
    <col min="9" max="9" width="21.5546875" customWidth="1"/>
    <col min="10" max="10" width="9.21875" customWidth="1"/>
    <col min="11" max="11" width="2.77734375" customWidth="1"/>
    <col min="13" max="15" width="0" hidden="1" customWidth="1"/>
    <col min="16" max="16" width="6.5546875" hidden="1" customWidth="1"/>
    <col min="17" max="17" width="12.33203125" bestFit="1" customWidth="1"/>
    <col min="18" max="18" width="25.5546875" bestFit="1" customWidth="1"/>
    <col min="19" max="19" width="12.5546875" bestFit="1" customWidth="1"/>
    <col min="20" max="20" width="25.5546875" customWidth="1"/>
  </cols>
  <sheetData>
    <row r="1" spans="1:22" ht="18.600000000000001" thickBot="1" x14ac:dyDescent="0.4">
      <c r="A1" s="288" t="s">
        <v>53</v>
      </c>
      <c r="B1" s="289"/>
      <c r="C1" s="289"/>
      <c r="D1" s="289"/>
      <c r="E1" s="289"/>
      <c r="F1" s="289"/>
      <c r="G1" s="289"/>
      <c r="H1" s="289"/>
      <c r="I1" s="289"/>
      <c r="J1" s="289"/>
      <c r="K1" s="290"/>
    </row>
    <row r="2" spans="1:22" s="2" customFormat="1" ht="15" thickBot="1" x14ac:dyDescent="0.35">
      <c r="A2" s="291"/>
      <c r="B2" s="292" t="s">
        <v>27</v>
      </c>
      <c r="C2" s="293"/>
      <c r="D2" s="294"/>
      <c r="E2" s="296" t="s">
        <v>23</v>
      </c>
      <c r="F2" s="297"/>
      <c r="G2" s="297"/>
      <c r="H2" s="297"/>
      <c r="I2" s="297"/>
      <c r="J2" s="298"/>
      <c r="K2" s="299"/>
    </row>
    <row r="3" spans="1:22" s="3" customFormat="1" ht="29.4" thickBot="1" x14ac:dyDescent="0.35">
      <c r="A3" s="291"/>
      <c r="B3" s="300">
        <v>35.700000000000003</v>
      </c>
      <c r="C3" s="301"/>
      <c r="D3" s="294"/>
      <c r="E3" s="61" t="s">
        <v>31</v>
      </c>
      <c r="F3" s="62" t="s">
        <v>29</v>
      </c>
      <c r="G3" s="62" t="s">
        <v>30</v>
      </c>
      <c r="H3" s="63" t="s">
        <v>19</v>
      </c>
      <c r="I3" s="64" t="s">
        <v>20</v>
      </c>
      <c r="J3" s="65" t="s">
        <v>7</v>
      </c>
      <c r="K3" s="299"/>
      <c r="Q3" s="138" t="s">
        <v>60</v>
      </c>
      <c r="R3" s="151" t="s">
        <v>55</v>
      </c>
      <c r="S3" s="139" t="s">
        <v>56</v>
      </c>
      <c r="T3" s="140" t="s">
        <v>57</v>
      </c>
    </row>
    <row r="4" spans="1:22" x14ac:dyDescent="0.3">
      <c r="A4" s="291"/>
      <c r="B4" s="306" t="s">
        <v>24</v>
      </c>
      <c r="C4" s="307"/>
      <c r="D4" s="294"/>
      <c r="E4" s="302">
        <v>1</v>
      </c>
      <c r="F4" s="46" t="s">
        <v>2</v>
      </c>
      <c r="G4" s="80">
        <v>1</v>
      </c>
      <c r="H4" s="84">
        <f>((C6*G4)/60)*$B$3</f>
        <v>71.400000000000006</v>
      </c>
      <c r="I4" s="119">
        <f>H4*(1-J4)</f>
        <v>71.400000000000006</v>
      </c>
      <c r="J4" s="51">
        <v>0</v>
      </c>
      <c r="K4" s="299"/>
      <c r="M4">
        <v>15</v>
      </c>
      <c r="N4" s="68">
        <f>I4*(60/(M4*G4))</f>
        <v>285.60000000000002</v>
      </c>
      <c r="P4" s="75">
        <f>(G4*(C6/60))/4</f>
        <v>0.5</v>
      </c>
      <c r="Q4" s="308" t="s">
        <v>59</v>
      </c>
      <c r="R4" s="147" t="s">
        <v>53</v>
      </c>
      <c r="S4" s="144">
        <f>I6</f>
        <v>107.10000000000001</v>
      </c>
      <c r="T4" s="137">
        <f>S4*0.8</f>
        <v>85.68</v>
      </c>
    </row>
    <row r="5" spans="1:22" ht="15" thickBot="1" x14ac:dyDescent="0.35">
      <c r="A5" s="291"/>
      <c r="B5" s="61" t="s">
        <v>25</v>
      </c>
      <c r="C5" s="65" t="s">
        <v>26</v>
      </c>
      <c r="D5" s="294"/>
      <c r="E5" s="303"/>
      <c r="F5" s="79" t="s">
        <v>28</v>
      </c>
      <c r="G5" s="82">
        <v>4</v>
      </c>
      <c r="H5" s="86">
        <f>((C7*G5)/60)*$B$3</f>
        <v>35.700000000000003</v>
      </c>
      <c r="I5" s="120">
        <f>H5*(1-J5)</f>
        <v>35.700000000000003</v>
      </c>
      <c r="J5" s="77">
        <v>0</v>
      </c>
      <c r="K5" s="299"/>
      <c r="M5">
        <v>15</v>
      </c>
      <c r="N5" s="68">
        <f>I5*(60/(M5*G5))</f>
        <v>35.700000000000003</v>
      </c>
      <c r="P5" s="75">
        <f>(G5*(C7/60))/4</f>
        <v>0.25</v>
      </c>
      <c r="Q5" s="309"/>
      <c r="R5" s="148" t="s">
        <v>52</v>
      </c>
      <c r="S5" s="130">
        <f>I46</f>
        <v>178.5</v>
      </c>
      <c r="T5" s="129">
        <f t="shared" ref="T5:T6" si="0">S5*0.8</f>
        <v>142.80000000000001</v>
      </c>
    </row>
    <row r="6" spans="1:22" ht="15" thickBot="1" x14ac:dyDescent="0.35">
      <c r="A6" s="291"/>
      <c r="B6" s="88" t="s">
        <v>38</v>
      </c>
      <c r="C6" s="90">
        <v>120</v>
      </c>
      <c r="D6" s="294"/>
      <c r="E6" s="304"/>
      <c r="F6" s="286" t="s">
        <v>12</v>
      </c>
      <c r="G6" s="287"/>
      <c r="H6" s="87">
        <f>SUM(H4:H5)</f>
        <v>107.10000000000001</v>
      </c>
      <c r="I6" s="83">
        <f>SUM(I4:I5)</f>
        <v>107.10000000000001</v>
      </c>
      <c r="J6" s="78">
        <f>(H6-I6)/H6</f>
        <v>0</v>
      </c>
      <c r="K6" s="299"/>
      <c r="P6" s="76">
        <f>P4+P5</f>
        <v>0.75</v>
      </c>
      <c r="Q6" s="310"/>
      <c r="R6" s="149" t="s">
        <v>54</v>
      </c>
      <c r="S6" s="145">
        <f>I73</f>
        <v>214.20000000000002</v>
      </c>
      <c r="T6" s="141">
        <f t="shared" si="0"/>
        <v>171.36</v>
      </c>
    </row>
    <row r="7" spans="1:22" ht="15" thickBot="1" x14ac:dyDescent="0.35">
      <c r="A7" s="291"/>
      <c r="B7" s="89" t="s">
        <v>48</v>
      </c>
      <c r="C7" s="91">
        <v>15</v>
      </c>
      <c r="D7" s="294"/>
      <c r="E7" s="302">
        <v>2</v>
      </c>
      <c r="F7" s="46" t="s">
        <v>2</v>
      </c>
      <c r="G7" s="80">
        <v>1</v>
      </c>
      <c r="H7" s="84">
        <f>((C6*G7)/60)*$B$3</f>
        <v>71.400000000000006</v>
      </c>
      <c r="I7" s="119">
        <f>H7*(1-J7)</f>
        <v>67.83</v>
      </c>
      <c r="J7" s="51">
        <v>0.05</v>
      </c>
      <c r="K7" s="299"/>
      <c r="M7">
        <v>15</v>
      </c>
      <c r="N7" s="68">
        <f>I7*(60/(M7*G7))</f>
        <v>271.32</v>
      </c>
      <c r="Q7" s="142" t="s">
        <v>61</v>
      </c>
      <c r="R7" s="150" t="s">
        <v>52</v>
      </c>
      <c r="S7" s="146">
        <v>200</v>
      </c>
      <c r="T7" s="143">
        <f>S7*0.8</f>
        <v>160</v>
      </c>
      <c r="V7" s="152"/>
    </row>
    <row r="8" spans="1:22" ht="15" thickBot="1" x14ac:dyDescent="0.35">
      <c r="A8" s="291"/>
      <c r="B8" s="71"/>
      <c r="C8" s="71"/>
      <c r="D8" s="294"/>
      <c r="E8" s="303"/>
      <c r="F8" s="79" t="s">
        <v>28</v>
      </c>
      <c r="G8" s="82">
        <v>4</v>
      </c>
      <c r="H8" s="86">
        <f>((C7*G8)/60)*$B$3</f>
        <v>35.700000000000003</v>
      </c>
      <c r="I8" s="120">
        <f>H8*(1-J8)</f>
        <v>33.914999999999999</v>
      </c>
      <c r="J8" s="77">
        <v>0.05</v>
      </c>
      <c r="K8" s="299"/>
      <c r="M8">
        <v>15</v>
      </c>
      <c r="N8" s="68">
        <f>I8*(60/(M8*G8))</f>
        <v>33.914999999999999</v>
      </c>
    </row>
    <row r="9" spans="1:22" ht="15" customHeight="1" thickBot="1" x14ac:dyDescent="0.35">
      <c r="A9" s="291"/>
      <c r="B9" s="285" t="s">
        <v>34</v>
      </c>
      <c r="C9" s="285"/>
      <c r="D9" s="294"/>
      <c r="E9" s="304"/>
      <c r="F9" s="286" t="s">
        <v>12</v>
      </c>
      <c r="G9" s="287"/>
      <c r="H9" s="87">
        <f>SUM(H7:H8)</f>
        <v>107.10000000000001</v>
      </c>
      <c r="I9" s="83">
        <f>SUM(I7:I8)</f>
        <v>101.745</v>
      </c>
      <c r="J9" s="78">
        <f>(H9-I9)/H9</f>
        <v>5.0000000000000031E-2</v>
      </c>
      <c r="K9" s="299"/>
      <c r="N9" s="68"/>
    </row>
    <row r="10" spans="1:22" x14ac:dyDescent="0.3">
      <c r="A10" s="291"/>
      <c r="B10" s="305" t="s">
        <v>41</v>
      </c>
      <c r="C10" s="305"/>
      <c r="D10" s="294"/>
      <c r="E10" s="302">
        <v>3</v>
      </c>
      <c r="F10" s="46" t="s">
        <v>2</v>
      </c>
      <c r="G10" s="80">
        <v>1</v>
      </c>
      <c r="H10" s="84">
        <f>((C6*G10)/60)*$B$3</f>
        <v>71.400000000000006</v>
      </c>
      <c r="I10" s="119">
        <f>H10*(1-J10)</f>
        <v>64.260000000000005</v>
      </c>
      <c r="J10" s="51">
        <v>0.1</v>
      </c>
      <c r="K10" s="299"/>
      <c r="M10">
        <v>15</v>
      </c>
      <c r="N10" s="68">
        <f>I10*(60/(M10*G10))</f>
        <v>257.04000000000002</v>
      </c>
    </row>
    <row r="11" spans="1:22" ht="15" thickBot="1" x14ac:dyDescent="0.35">
      <c r="A11" s="291"/>
      <c r="B11" s="305" t="s">
        <v>42</v>
      </c>
      <c r="C11" s="305"/>
      <c r="D11" s="294"/>
      <c r="E11" s="303"/>
      <c r="F11" s="79" t="s">
        <v>28</v>
      </c>
      <c r="G11" s="82">
        <v>4</v>
      </c>
      <c r="H11" s="86">
        <f>((C7*G11)/60)*$B$3</f>
        <v>35.700000000000003</v>
      </c>
      <c r="I11" s="120">
        <f>H11*(1-J11)</f>
        <v>32.130000000000003</v>
      </c>
      <c r="J11" s="77">
        <v>0.1</v>
      </c>
      <c r="K11" s="299"/>
      <c r="M11">
        <v>15</v>
      </c>
      <c r="N11" s="68">
        <f>I11*(60/(M11*G11))</f>
        <v>32.130000000000003</v>
      </c>
      <c r="R11" s="208"/>
    </row>
    <row r="12" spans="1:22" ht="15" thickBot="1" x14ac:dyDescent="0.35">
      <c r="A12" s="291"/>
      <c r="B12" s="285" t="s">
        <v>47</v>
      </c>
      <c r="C12" s="285"/>
      <c r="D12" s="294"/>
      <c r="E12" s="304"/>
      <c r="F12" s="286" t="s">
        <v>12</v>
      </c>
      <c r="G12" s="287"/>
      <c r="H12" s="87">
        <f>SUM(H10:H11)</f>
        <v>107.10000000000001</v>
      </c>
      <c r="I12" s="83">
        <f>SUM(I10:I11)</f>
        <v>96.390000000000015</v>
      </c>
      <c r="J12" s="78">
        <f>(H12-I12)/H12</f>
        <v>9.9999999999999936E-2</v>
      </c>
      <c r="K12" s="299"/>
      <c r="R12" s="208"/>
      <c r="T12" s="68"/>
    </row>
    <row r="13" spans="1:22" ht="18.600000000000001" hidden="1" thickBot="1" x14ac:dyDescent="0.4">
      <c r="A13" s="288" t="s">
        <v>35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90"/>
    </row>
    <row r="14" spans="1:22" s="2" customFormat="1" ht="15" hidden="1" thickBot="1" x14ac:dyDescent="0.35">
      <c r="A14" s="291"/>
      <c r="B14" s="292" t="s">
        <v>27</v>
      </c>
      <c r="C14" s="293"/>
      <c r="D14" s="294"/>
      <c r="E14" s="296" t="s">
        <v>23</v>
      </c>
      <c r="F14" s="297"/>
      <c r="G14" s="297"/>
      <c r="H14" s="297"/>
      <c r="I14" s="297"/>
      <c r="J14" s="298"/>
      <c r="K14" s="299"/>
    </row>
    <row r="15" spans="1:22" s="3" customFormat="1" ht="29.4" hidden="1" thickBot="1" x14ac:dyDescent="0.35">
      <c r="A15" s="291"/>
      <c r="B15" s="300">
        <v>49</v>
      </c>
      <c r="C15" s="301"/>
      <c r="D15" s="294"/>
      <c r="E15" s="61" t="s">
        <v>31</v>
      </c>
      <c r="F15" s="62" t="s">
        <v>29</v>
      </c>
      <c r="G15" s="62" t="s">
        <v>30</v>
      </c>
      <c r="H15" s="63" t="s">
        <v>19</v>
      </c>
      <c r="I15" s="64" t="s">
        <v>20</v>
      </c>
      <c r="J15" s="65" t="s">
        <v>7</v>
      </c>
      <c r="K15" s="299"/>
    </row>
    <row r="16" spans="1:22" hidden="1" x14ac:dyDescent="0.3">
      <c r="A16" s="291"/>
      <c r="B16" s="66" t="s">
        <v>24</v>
      </c>
      <c r="C16" s="67"/>
      <c r="D16" s="294"/>
      <c r="E16" s="282">
        <v>1</v>
      </c>
      <c r="F16" s="46" t="s">
        <v>2</v>
      </c>
      <c r="G16" s="80">
        <v>1</v>
      </c>
      <c r="H16" s="84">
        <f>((C18*G16)/60)*$B$15</f>
        <v>12.25</v>
      </c>
      <c r="I16" s="119">
        <f>H16*(1-J16)</f>
        <v>12.25</v>
      </c>
      <c r="J16" s="51">
        <v>0</v>
      </c>
      <c r="K16" s="299"/>
      <c r="M16">
        <v>15</v>
      </c>
      <c r="N16" s="68">
        <f>I16*(60/(M16*G16))</f>
        <v>49</v>
      </c>
      <c r="P16" s="75">
        <f>(G16*(C18/60))/4</f>
        <v>6.25E-2</v>
      </c>
    </row>
    <row r="17" spans="1:16" ht="15" hidden="1" thickBot="1" x14ac:dyDescent="0.35">
      <c r="A17" s="291"/>
      <c r="B17" s="61" t="s">
        <v>25</v>
      </c>
      <c r="C17" s="65" t="s">
        <v>26</v>
      </c>
      <c r="D17" s="294"/>
      <c r="E17" s="283"/>
      <c r="F17" s="47" t="s">
        <v>3</v>
      </c>
      <c r="G17" s="81">
        <v>1</v>
      </c>
      <c r="H17" s="85">
        <f>((C19*G17)/60)*$B$15</f>
        <v>12.25</v>
      </c>
      <c r="I17" s="121">
        <f t="shared" ref="I17:I18" si="1">H17*(1-J17)</f>
        <v>12.25</v>
      </c>
      <c r="J17" s="52">
        <v>0</v>
      </c>
      <c r="K17" s="299"/>
      <c r="M17">
        <v>15</v>
      </c>
      <c r="N17" s="68">
        <f>I17*(60/(M17*G17))</f>
        <v>49</v>
      </c>
      <c r="P17" s="75">
        <f>(G17*(C19/60))/4</f>
        <v>6.25E-2</v>
      </c>
    </row>
    <row r="18" spans="1:16" ht="15" hidden="1" thickBot="1" x14ac:dyDescent="0.35">
      <c r="A18" s="291"/>
      <c r="B18" s="92" t="s">
        <v>2</v>
      </c>
      <c r="C18" s="90">
        <v>15</v>
      </c>
      <c r="D18" s="294"/>
      <c r="E18" s="283"/>
      <c r="F18" s="79" t="s">
        <v>28</v>
      </c>
      <c r="G18" s="82">
        <v>4</v>
      </c>
      <c r="H18" s="86">
        <f>((C20*G18)/60)*$B$15</f>
        <v>49</v>
      </c>
      <c r="I18" s="120">
        <f t="shared" si="1"/>
        <v>49</v>
      </c>
      <c r="J18" s="77">
        <v>0</v>
      </c>
      <c r="K18" s="299"/>
      <c r="M18">
        <v>15</v>
      </c>
      <c r="N18" s="68">
        <f>I18*(60/(M18*G18))</f>
        <v>49</v>
      </c>
      <c r="P18" s="75">
        <f>(G18*(C20/60))/4</f>
        <v>0.25</v>
      </c>
    </row>
    <row r="19" spans="1:16" ht="15" hidden="1" thickBot="1" x14ac:dyDescent="0.35">
      <c r="A19" s="291"/>
      <c r="B19" s="93" t="s">
        <v>39</v>
      </c>
      <c r="C19" s="94">
        <v>15</v>
      </c>
      <c r="D19" s="294"/>
      <c r="E19" s="284"/>
      <c r="F19" s="286" t="s">
        <v>12</v>
      </c>
      <c r="G19" s="287"/>
      <c r="H19" s="87">
        <f>SUM(H16:H18)</f>
        <v>73.5</v>
      </c>
      <c r="I19" s="83">
        <f>SUM(I16:I18)</f>
        <v>73.5</v>
      </c>
      <c r="J19" s="78">
        <f>(H19-I19)/H19</f>
        <v>0</v>
      </c>
      <c r="K19" s="299"/>
      <c r="P19" s="76">
        <f>P16+P17+P18</f>
        <v>0.375</v>
      </c>
    </row>
    <row r="20" spans="1:16" ht="15" hidden="1" thickBot="1" x14ac:dyDescent="0.35">
      <c r="A20" s="291"/>
      <c r="B20" s="89" t="s">
        <v>48</v>
      </c>
      <c r="C20" s="91">
        <v>15</v>
      </c>
      <c r="D20" s="294"/>
      <c r="E20" s="282">
        <v>2</v>
      </c>
      <c r="F20" s="46" t="s">
        <v>2</v>
      </c>
      <c r="G20" s="80">
        <v>1</v>
      </c>
      <c r="H20" s="84">
        <f>((C18*G20)/60)*$B$15</f>
        <v>12.25</v>
      </c>
      <c r="I20" s="119">
        <f>H20*(1-J20)</f>
        <v>12.25</v>
      </c>
      <c r="J20" s="51">
        <v>0</v>
      </c>
      <c r="K20" s="299"/>
      <c r="M20">
        <v>15</v>
      </c>
      <c r="N20" s="68">
        <f>I20*(60/(M20*G20))</f>
        <v>49</v>
      </c>
    </row>
    <row r="21" spans="1:16" hidden="1" x14ac:dyDescent="0.3">
      <c r="A21" s="291"/>
      <c r="B21" s="69"/>
      <c r="C21" s="70"/>
      <c r="D21" s="295"/>
      <c r="E21" s="283"/>
      <c r="F21" s="47" t="s">
        <v>3</v>
      </c>
      <c r="G21" s="81">
        <v>1</v>
      </c>
      <c r="H21" s="85">
        <f>((C19*G21)/60)*$B$15</f>
        <v>12.25</v>
      </c>
      <c r="I21" s="121">
        <f t="shared" ref="I21:I22" si="2">H21*(1-J21)</f>
        <v>12.25</v>
      </c>
      <c r="J21" s="52">
        <v>0</v>
      </c>
      <c r="K21" s="299"/>
      <c r="M21">
        <v>15</v>
      </c>
      <c r="N21" s="68">
        <f>I21*(60/(M21*G21))</f>
        <v>49</v>
      </c>
    </row>
    <row r="22" spans="1:16" ht="15" hidden="1" thickBot="1" x14ac:dyDescent="0.35">
      <c r="A22" s="291"/>
      <c r="B22" s="285" t="s">
        <v>43</v>
      </c>
      <c r="C22" s="285"/>
      <c r="D22" s="294"/>
      <c r="E22" s="283"/>
      <c r="F22" s="79" t="s">
        <v>28</v>
      </c>
      <c r="G22" s="82">
        <v>4</v>
      </c>
      <c r="H22" s="86">
        <f>((C20*G22)/60)*$B$15</f>
        <v>49</v>
      </c>
      <c r="I22" s="120">
        <f t="shared" si="2"/>
        <v>49</v>
      </c>
      <c r="J22" s="77">
        <v>0</v>
      </c>
      <c r="K22" s="299"/>
      <c r="M22">
        <v>15</v>
      </c>
      <c r="N22" s="68">
        <f>I22*(60/(M22*G22))</f>
        <v>49</v>
      </c>
    </row>
    <row r="23" spans="1:16" ht="15" hidden="1" thickBot="1" x14ac:dyDescent="0.35">
      <c r="A23" s="291"/>
      <c r="B23" s="285" t="s">
        <v>44</v>
      </c>
      <c r="C23" s="285"/>
      <c r="D23" s="294"/>
      <c r="E23" s="284"/>
      <c r="F23" s="286" t="s">
        <v>12</v>
      </c>
      <c r="G23" s="287"/>
      <c r="H23" s="87">
        <f>SUM(H20:H22)</f>
        <v>73.5</v>
      </c>
      <c r="I23" s="83">
        <f>SUM(I20:I22)</f>
        <v>73.5</v>
      </c>
      <c r="J23" s="78">
        <f>(H23-I23)/H23</f>
        <v>0</v>
      </c>
      <c r="K23" s="299"/>
    </row>
    <row r="24" spans="1:16" hidden="1" x14ac:dyDescent="0.3">
      <c r="A24" s="291"/>
      <c r="B24" s="285" t="s">
        <v>47</v>
      </c>
      <c r="C24" s="285"/>
      <c r="D24" s="294"/>
      <c r="E24" s="282">
        <v>3</v>
      </c>
      <c r="F24" s="46" t="s">
        <v>2</v>
      </c>
      <c r="G24" s="80">
        <v>1</v>
      </c>
      <c r="H24" s="84">
        <f>((C18*G24)/60)*$B$15</f>
        <v>12.25</v>
      </c>
      <c r="I24" s="119">
        <f>H24*(1-J24)</f>
        <v>11.637499999999999</v>
      </c>
      <c r="J24" s="51">
        <v>0.05</v>
      </c>
      <c r="K24" s="299"/>
      <c r="M24">
        <v>15</v>
      </c>
      <c r="N24" s="68">
        <f>I24*(60/(M24*G24))</f>
        <v>46.55</v>
      </c>
    </row>
    <row r="25" spans="1:16" hidden="1" x14ac:dyDescent="0.3">
      <c r="A25" s="291"/>
      <c r="B25" s="285"/>
      <c r="C25" s="285"/>
      <c r="D25" s="294"/>
      <c r="E25" s="283"/>
      <c r="F25" s="47" t="s">
        <v>3</v>
      </c>
      <c r="G25" s="81">
        <v>1</v>
      </c>
      <c r="H25" s="85">
        <f>((C19*G25)/60)*$B$15</f>
        <v>12.25</v>
      </c>
      <c r="I25" s="121">
        <f t="shared" ref="I25:I26" si="3">H25*(1-J25)</f>
        <v>11.637499999999999</v>
      </c>
      <c r="J25" s="52">
        <v>0.05</v>
      </c>
      <c r="K25" s="299"/>
      <c r="M25">
        <v>15</v>
      </c>
      <c r="N25" s="68">
        <f>I25*(60/(M25*G25))</f>
        <v>46.55</v>
      </c>
    </row>
    <row r="26" spans="1:16" ht="15" hidden="1" thickBot="1" x14ac:dyDescent="0.35">
      <c r="A26" s="291"/>
      <c r="B26" s="285"/>
      <c r="C26" s="285"/>
      <c r="D26" s="294"/>
      <c r="E26" s="283"/>
      <c r="F26" s="79" t="s">
        <v>28</v>
      </c>
      <c r="G26" s="82">
        <v>4</v>
      </c>
      <c r="H26" s="86">
        <f>((C20*G26)/60)*$B$15</f>
        <v>49</v>
      </c>
      <c r="I26" s="120">
        <f t="shared" si="3"/>
        <v>46.55</v>
      </c>
      <c r="J26" s="77">
        <v>0.05</v>
      </c>
      <c r="K26" s="299"/>
      <c r="M26">
        <v>15</v>
      </c>
      <c r="N26" s="68">
        <f>I26*(60/(M26*G26))</f>
        <v>46.55</v>
      </c>
    </row>
    <row r="27" spans="1:16" ht="15" hidden="1" thickBot="1" x14ac:dyDescent="0.35">
      <c r="A27" s="72"/>
      <c r="B27" s="285"/>
      <c r="C27" s="285"/>
      <c r="D27" s="73"/>
      <c r="E27" s="284"/>
      <c r="F27" s="286" t="s">
        <v>12</v>
      </c>
      <c r="G27" s="287"/>
      <c r="H27" s="87">
        <f>SUM(H24:H26)</f>
        <v>73.5</v>
      </c>
      <c r="I27" s="83">
        <f>SUM(I24:I26)</f>
        <v>69.824999999999989</v>
      </c>
      <c r="J27" s="78">
        <f>(H27-I27)/H27</f>
        <v>5.0000000000000155E-2</v>
      </c>
      <c r="K27" s="299"/>
    </row>
    <row r="28" spans="1:16" ht="18.600000000000001" hidden="1" thickBot="1" x14ac:dyDescent="0.4">
      <c r="A28" s="288" t="s">
        <v>45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90"/>
    </row>
    <row r="29" spans="1:16" s="2" customFormat="1" ht="15" hidden="1" thickBot="1" x14ac:dyDescent="0.35">
      <c r="A29" s="291"/>
      <c r="B29" s="292" t="s">
        <v>27</v>
      </c>
      <c r="C29" s="293"/>
      <c r="D29" s="294"/>
      <c r="E29" s="296" t="s">
        <v>23</v>
      </c>
      <c r="F29" s="297"/>
      <c r="G29" s="297"/>
      <c r="H29" s="297"/>
      <c r="I29" s="297"/>
      <c r="J29" s="298"/>
      <c r="K29" s="299"/>
    </row>
    <row r="30" spans="1:16" s="3" customFormat="1" ht="29.4" hidden="1" thickBot="1" x14ac:dyDescent="0.35">
      <c r="A30" s="291"/>
      <c r="B30" s="300">
        <v>49</v>
      </c>
      <c r="C30" s="301"/>
      <c r="D30" s="294"/>
      <c r="E30" s="61" t="s">
        <v>31</v>
      </c>
      <c r="F30" s="62" t="s">
        <v>29</v>
      </c>
      <c r="G30" s="62" t="s">
        <v>30</v>
      </c>
      <c r="H30" s="63" t="s">
        <v>19</v>
      </c>
      <c r="I30" s="64" t="s">
        <v>20</v>
      </c>
      <c r="J30" s="65" t="s">
        <v>7</v>
      </c>
      <c r="K30" s="299"/>
    </row>
    <row r="31" spans="1:16" hidden="1" x14ac:dyDescent="0.3">
      <c r="A31" s="291"/>
      <c r="B31" s="66" t="s">
        <v>24</v>
      </c>
      <c r="C31" s="67"/>
      <c r="D31" s="294"/>
      <c r="E31" s="302">
        <v>1</v>
      </c>
      <c r="F31" s="46" t="s">
        <v>2</v>
      </c>
      <c r="G31" s="80">
        <v>1</v>
      </c>
      <c r="H31" s="84">
        <f>((C33*G31)/60)*$B$30</f>
        <v>49</v>
      </c>
      <c r="I31" s="119">
        <f>H31*(1-J31)</f>
        <v>49</v>
      </c>
      <c r="J31" s="51">
        <v>0</v>
      </c>
      <c r="K31" s="299"/>
      <c r="M31">
        <v>60</v>
      </c>
      <c r="N31" s="68">
        <f>I31*(60/(M31*G31))</f>
        <v>49</v>
      </c>
      <c r="P31" s="75">
        <f>(G31*(C33/60))/4</f>
        <v>0.25</v>
      </c>
    </row>
    <row r="32" spans="1:16" ht="15" hidden="1" thickBot="1" x14ac:dyDescent="0.35">
      <c r="A32" s="291"/>
      <c r="B32" s="61" t="s">
        <v>25</v>
      </c>
      <c r="C32" s="65" t="s">
        <v>26</v>
      </c>
      <c r="D32" s="294"/>
      <c r="E32" s="303"/>
      <c r="F32" s="79" t="s">
        <v>28</v>
      </c>
      <c r="G32" s="82">
        <v>4</v>
      </c>
      <c r="H32" s="86">
        <f>((C34*G32)/60)*$B$30</f>
        <v>49</v>
      </c>
      <c r="I32" s="120">
        <f>H32*(1-J32)</f>
        <v>49</v>
      </c>
      <c r="J32" s="77">
        <v>0</v>
      </c>
      <c r="K32" s="299"/>
      <c r="M32">
        <v>15</v>
      </c>
      <c r="N32" s="68">
        <f>I32*(60/(M32*G32))</f>
        <v>49</v>
      </c>
      <c r="P32" s="75">
        <f>(G32*(C34/60))/4</f>
        <v>0.25</v>
      </c>
    </row>
    <row r="33" spans="1:18" ht="15" hidden="1" thickBot="1" x14ac:dyDescent="0.35">
      <c r="A33" s="291"/>
      <c r="B33" s="88" t="s">
        <v>38</v>
      </c>
      <c r="C33" s="90">
        <v>60</v>
      </c>
      <c r="D33" s="294"/>
      <c r="E33" s="304"/>
      <c r="F33" s="286" t="s">
        <v>12</v>
      </c>
      <c r="G33" s="287"/>
      <c r="H33" s="87">
        <f>SUM(H31:H32)</f>
        <v>98</v>
      </c>
      <c r="I33" s="83">
        <f>SUM(I31:I32)</f>
        <v>98</v>
      </c>
      <c r="J33" s="78">
        <f>(H33-I33)/H33</f>
        <v>0</v>
      </c>
      <c r="K33" s="299"/>
      <c r="P33" s="76">
        <f>P31+P32</f>
        <v>0.5</v>
      </c>
    </row>
    <row r="34" spans="1:18" ht="15" hidden="1" thickBot="1" x14ac:dyDescent="0.35">
      <c r="A34" s="291"/>
      <c r="B34" s="89" t="s">
        <v>48</v>
      </c>
      <c r="C34" s="91">
        <v>15</v>
      </c>
      <c r="D34" s="294"/>
      <c r="E34" s="302">
        <v>2</v>
      </c>
      <c r="F34" s="46" t="s">
        <v>2</v>
      </c>
      <c r="G34" s="80">
        <v>1</v>
      </c>
      <c r="H34" s="84">
        <f>((C33*G34)/60)*$B$30</f>
        <v>49</v>
      </c>
      <c r="I34" s="119">
        <f>H34*(1-J34)</f>
        <v>46.55</v>
      </c>
      <c r="J34" s="51">
        <v>0.05</v>
      </c>
      <c r="K34" s="299"/>
      <c r="M34">
        <v>60</v>
      </c>
      <c r="N34" s="68">
        <f>I34*(60/(M34*G34))</f>
        <v>46.55</v>
      </c>
    </row>
    <row r="35" spans="1:18" ht="15" hidden="1" thickBot="1" x14ac:dyDescent="0.35">
      <c r="A35" s="291"/>
      <c r="B35" s="71"/>
      <c r="C35" s="71"/>
      <c r="D35" s="294"/>
      <c r="E35" s="303"/>
      <c r="F35" s="79" t="s">
        <v>28</v>
      </c>
      <c r="G35" s="82">
        <v>4</v>
      </c>
      <c r="H35" s="86">
        <f>((C34*G35)/60)*$B$30</f>
        <v>49</v>
      </c>
      <c r="I35" s="120">
        <f>H35*(1-J35)</f>
        <v>46.55</v>
      </c>
      <c r="J35" s="77">
        <v>0.05</v>
      </c>
      <c r="K35" s="299"/>
      <c r="M35">
        <v>15</v>
      </c>
      <c r="N35" s="68">
        <f>I35*(60/(M35*G35))</f>
        <v>46.55</v>
      </c>
    </row>
    <row r="36" spans="1:18" ht="15" hidden="1" customHeight="1" thickBot="1" x14ac:dyDescent="0.35">
      <c r="A36" s="291"/>
      <c r="B36" s="285" t="s">
        <v>34</v>
      </c>
      <c r="C36" s="285"/>
      <c r="D36" s="294"/>
      <c r="E36" s="304"/>
      <c r="F36" s="286" t="s">
        <v>12</v>
      </c>
      <c r="G36" s="287"/>
      <c r="H36" s="87">
        <f>SUM(H34:H35)</f>
        <v>98</v>
      </c>
      <c r="I36" s="83">
        <f>SUM(I34:I35)</f>
        <v>93.1</v>
      </c>
      <c r="J36" s="78">
        <f>(H36-I36)/H36</f>
        <v>5.0000000000000058E-2</v>
      </c>
      <c r="K36" s="299"/>
      <c r="N36" s="68"/>
    </row>
    <row r="37" spans="1:18" hidden="1" x14ac:dyDescent="0.3">
      <c r="A37" s="291"/>
      <c r="B37" s="305" t="s">
        <v>41</v>
      </c>
      <c r="C37" s="305"/>
      <c r="D37" s="294"/>
      <c r="E37" s="302">
        <v>3</v>
      </c>
      <c r="F37" s="46" t="s">
        <v>2</v>
      </c>
      <c r="G37" s="80">
        <v>1</v>
      </c>
      <c r="H37" s="84">
        <f>((C33*G37)/60)*$B$30</f>
        <v>49</v>
      </c>
      <c r="I37" s="119">
        <f>H37*(1-J37)</f>
        <v>44.1</v>
      </c>
      <c r="J37" s="51">
        <v>0.1</v>
      </c>
      <c r="K37" s="299"/>
      <c r="M37">
        <v>60</v>
      </c>
      <c r="N37" s="68">
        <f>I37*(60/(M37*G37))</f>
        <v>44.1</v>
      </c>
    </row>
    <row r="38" spans="1:18" ht="15" hidden="1" thickBot="1" x14ac:dyDescent="0.35">
      <c r="A38" s="291"/>
      <c r="B38" s="305" t="s">
        <v>42</v>
      </c>
      <c r="C38" s="305"/>
      <c r="D38" s="294"/>
      <c r="E38" s="303"/>
      <c r="F38" s="79" t="s">
        <v>28</v>
      </c>
      <c r="G38" s="82">
        <v>4</v>
      </c>
      <c r="H38" s="86">
        <f>((C34*G38)/60)*$B$30</f>
        <v>49</v>
      </c>
      <c r="I38" s="120">
        <f>H38*(1-J38)</f>
        <v>44.1</v>
      </c>
      <c r="J38" s="77">
        <v>0.1</v>
      </c>
      <c r="K38" s="299"/>
      <c r="M38">
        <v>15</v>
      </c>
      <c r="N38" s="68">
        <f>I38*(60/(M38*G38))</f>
        <v>44.1</v>
      </c>
    </row>
    <row r="39" spans="1:18" ht="15" hidden="1" thickBot="1" x14ac:dyDescent="0.35">
      <c r="A39" s="291"/>
      <c r="B39" s="285" t="s">
        <v>47</v>
      </c>
      <c r="C39" s="285"/>
      <c r="D39" s="294"/>
      <c r="E39" s="304"/>
      <c r="F39" s="286" t="s">
        <v>12</v>
      </c>
      <c r="G39" s="287"/>
      <c r="H39" s="87">
        <f>SUM(H37:H38)</f>
        <v>98</v>
      </c>
      <c r="I39" s="83">
        <f>SUM(I37:I38)</f>
        <v>88.2</v>
      </c>
      <c r="J39" s="78">
        <f>(H39-I39)/H39</f>
        <v>9.9999999999999978E-2</v>
      </c>
      <c r="K39" s="299"/>
    </row>
    <row r="40" spans="1:18" ht="18.600000000000001" thickBot="1" x14ac:dyDescent="0.4">
      <c r="A40" s="288" t="s">
        <v>52</v>
      </c>
      <c r="B40" s="289"/>
      <c r="C40" s="289"/>
      <c r="D40" s="289"/>
      <c r="E40" s="289"/>
      <c r="F40" s="289"/>
      <c r="G40" s="289"/>
      <c r="H40" s="289"/>
      <c r="I40" s="289"/>
      <c r="J40" s="289"/>
      <c r="K40" s="290"/>
      <c r="R40" s="208"/>
    </row>
    <row r="41" spans="1:18" s="2" customFormat="1" ht="15" thickBot="1" x14ac:dyDescent="0.35">
      <c r="A41" s="291"/>
      <c r="B41" s="292" t="s">
        <v>27</v>
      </c>
      <c r="C41" s="293"/>
      <c r="D41" s="294"/>
      <c r="E41" s="296" t="s">
        <v>23</v>
      </c>
      <c r="F41" s="297"/>
      <c r="G41" s="297"/>
      <c r="H41" s="297"/>
      <c r="I41" s="297"/>
      <c r="J41" s="298"/>
      <c r="K41" s="299"/>
      <c r="R41" s="68"/>
    </row>
    <row r="42" spans="1:18" s="3" customFormat="1" ht="29.4" thickBot="1" x14ac:dyDescent="0.35">
      <c r="A42" s="291"/>
      <c r="B42" s="300">
        <v>35.700000000000003</v>
      </c>
      <c r="C42" s="301"/>
      <c r="D42" s="294"/>
      <c r="E42" s="61" t="s">
        <v>31</v>
      </c>
      <c r="F42" s="62" t="s">
        <v>29</v>
      </c>
      <c r="G42" s="62" t="s">
        <v>30</v>
      </c>
      <c r="H42" s="63" t="s">
        <v>19</v>
      </c>
      <c r="I42" s="64" t="s">
        <v>20</v>
      </c>
      <c r="J42" s="65" t="s">
        <v>7</v>
      </c>
      <c r="K42" s="299"/>
      <c r="R42" s="263"/>
    </row>
    <row r="43" spans="1:18" x14ac:dyDescent="0.3">
      <c r="A43" s="291"/>
      <c r="B43" s="306" t="s">
        <v>24</v>
      </c>
      <c r="C43" s="307"/>
      <c r="D43" s="294"/>
      <c r="E43" s="282">
        <v>1</v>
      </c>
      <c r="F43" s="46" t="s">
        <v>2</v>
      </c>
      <c r="G43" s="80">
        <v>1</v>
      </c>
      <c r="H43" s="84">
        <f>((C45*G43)/60)*$B$42</f>
        <v>71.400000000000006</v>
      </c>
      <c r="I43" s="119">
        <f>H43*(1-J43)</f>
        <v>71.400000000000006</v>
      </c>
      <c r="J43" s="51">
        <v>0</v>
      </c>
      <c r="K43" s="299"/>
      <c r="M43">
        <v>60</v>
      </c>
      <c r="N43" s="68">
        <f>I43*(60/(M43*G43))</f>
        <v>71.400000000000006</v>
      </c>
      <c r="P43" s="75">
        <f>(G43*(C45/60))/4</f>
        <v>0.5</v>
      </c>
    </row>
    <row r="44" spans="1:18" ht="15" thickBot="1" x14ac:dyDescent="0.35">
      <c r="A44" s="291"/>
      <c r="B44" s="61" t="s">
        <v>25</v>
      </c>
      <c r="C44" s="65" t="s">
        <v>26</v>
      </c>
      <c r="D44" s="294"/>
      <c r="E44" s="283"/>
      <c r="F44" s="47" t="s">
        <v>3</v>
      </c>
      <c r="G44" s="81">
        <v>1</v>
      </c>
      <c r="H44" s="85">
        <f>((C46*G44)/60)*$B$42</f>
        <v>71.400000000000006</v>
      </c>
      <c r="I44" s="121">
        <f t="shared" ref="I44:I45" si="4">H44*(1-J44)</f>
        <v>71.400000000000006</v>
      </c>
      <c r="J44" s="52">
        <v>0</v>
      </c>
      <c r="K44" s="299"/>
      <c r="M44">
        <v>60</v>
      </c>
      <c r="N44" s="68">
        <f>I44*(60/(M44*G44))</f>
        <v>71.400000000000006</v>
      </c>
      <c r="P44" s="75">
        <f>(G44*(C46/60))/4</f>
        <v>0.5</v>
      </c>
    </row>
    <row r="45" spans="1:18" ht="15" thickBot="1" x14ac:dyDescent="0.35">
      <c r="A45" s="291"/>
      <c r="B45" s="92" t="s">
        <v>2</v>
      </c>
      <c r="C45" s="90">
        <v>120</v>
      </c>
      <c r="D45" s="294"/>
      <c r="E45" s="283"/>
      <c r="F45" s="79" t="s">
        <v>28</v>
      </c>
      <c r="G45" s="82">
        <v>4</v>
      </c>
      <c r="H45" s="86">
        <f>((C47*G45)/60)*$B$42</f>
        <v>35.700000000000003</v>
      </c>
      <c r="I45" s="120">
        <f t="shared" si="4"/>
        <v>35.700000000000003</v>
      </c>
      <c r="J45" s="77">
        <v>0</v>
      </c>
      <c r="K45" s="299"/>
      <c r="M45">
        <v>15</v>
      </c>
      <c r="N45" s="68">
        <f>I45*(60/(M45*G45))</f>
        <v>35.700000000000003</v>
      </c>
      <c r="P45" s="75">
        <f>(G45*(C47/60))/4</f>
        <v>0.25</v>
      </c>
    </row>
    <row r="46" spans="1:18" ht="15" thickBot="1" x14ac:dyDescent="0.35">
      <c r="A46" s="291"/>
      <c r="B46" s="93" t="s">
        <v>39</v>
      </c>
      <c r="C46" s="94">
        <v>120</v>
      </c>
      <c r="D46" s="294"/>
      <c r="E46" s="284"/>
      <c r="F46" s="286" t="s">
        <v>12</v>
      </c>
      <c r="G46" s="287"/>
      <c r="H46" s="87">
        <f>SUM(H43:H45)</f>
        <v>178.5</v>
      </c>
      <c r="I46" s="83">
        <f>SUM(I43:I45)</f>
        <v>178.5</v>
      </c>
      <c r="J46" s="78">
        <f>(H46-I46)/H46</f>
        <v>0</v>
      </c>
      <c r="K46" s="299"/>
      <c r="P46" s="76">
        <f>P43+P44+P45</f>
        <v>1.25</v>
      </c>
    </row>
    <row r="47" spans="1:18" ht="15" thickBot="1" x14ac:dyDescent="0.35">
      <c r="A47" s="291"/>
      <c r="B47" s="89" t="s">
        <v>48</v>
      </c>
      <c r="C47" s="91">
        <v>15</v>
      </c>
      <c r="D47" s="294"/>
      <c r="E47" s="282">
        <v>2</v>
      </c>
      <c r="F47" s="46" t="s">
        <v>2</v>
      </c>
      <c r="G47" s="80">
        <v>1</v>
      </c>
      <c r="H47" s="84">
        <f>((C45*G47)/60)*$B$42</f>
        <v>71.400000000000006</v>
      </c>
      <c r="I47" s="119">
        <f>H47*(1-J47)</f>
        <v>69.615000000000009</v>
      </c>
      <c r="J47" s="255">
        <v>2.5000000000000001E-2</v>
      </c>
      <c r="K47" s="299"/>
      <c r="M47">
        <v>60</v>
      </c>
      <c r="N47" s="68">
        <f>I47*(60/(M47*G47))</f>
        <v>69.615000000000009</v>
      </c>
    </row>
    <row r="48" spans="1:18" x14ac:dyDescent="0.3">
      <c r="A48" s="291"/>
      <c r="B48" s="69"/>
      <c r="C48" s="70"/>
      <c r="D48" s="295"/>
      <c r="E48" s="283"/>
      <c r="F48" s="47" t="s">
        <v>3</v>
      </c>
      <c r="G48" s="81">
        <v>1</v>
      </c>
      <c r="H48" s="85">
        <f>((C46*G48)/60)*$B$42</f>
        <v>71.400000000000006</v>
      </c>
      <c r="I48" s="121">
        <f t="shared" ref="I48:I49" si="5">H48*(1-J48)</f>
        <v>69.615000000000009</v>
      </c>
      <c r="J48" s="256">
        <v>2.5000000000000001E-2</v>
      </c>
      <c r="K48" s="299"/>
      <c r="M48">
        <v>60</v>
      </c>
      <c r="N48" s="68">
        <f>I48*(60/(M48*G48))</f>
        <v>69.615000000000009</v>
      </c>
    </row>
    <row r="49" spans="1:16" ht="15" thickBot="1" x14ac:dyDescent="0.35">
      <c r="A49" s="291"/>
      <c r="B49" s="285" t="s">
        <v>36</v>
      </c>
      <c r="C49" s="285"/>
      <c r="D49" s="294"/>
      <c r="E49" s="283"/>
      <c r="F49" s="79" t="s">
        <v>28</v>
      </c>
      <c r="G49" s="82">
        <v>4</v>
      </c>
      <c r="H49" s="86">
        <f>((C47*G49)/60)*$B$42</f>
        <v>35.700000000000003</v>
      </c>
      <c r="I49" s="120">
        <f t="shared" si="5"/>
        <v>34.807500000000005</v>
      </c>
      <c r="J49" s="257">
        <v>2.5000000000000001E-2</v>
      </c>
      <c r="K49" s="299"/>
      <c r="M49">
        <v>15</v>
      </c>
      <c r="N49" s="68">
        <f>I49*(60/(M49*G49))</f>
        <v>34.807500000000005</v>
      </c>
    </row>
    <row r="50" spans="1:16" ht="15" thickBot="1" x14ac:dyDescent="0.35">
      <c r="A50" s="291"/>
      <c r="B50" s="285" t="s">
        <v>37</v>
      </c>
      <c r="C50" s="285"/>
      <c r="D50" s="294"/>
      <c r="E50" s="284"/>
      <c r="F50" s="286" t="s">
        <v>12</v>
      </c>
      <c r="G50" s="287"/>
      <c r="H50" s="87">
        <f>SUM(H47:H49)</f>
        <v>178.5</v>
      </c>
      <c r="I50" s="83">
        <f>SUM(I47:I49)</f>
        <v>174.03750000000002</v>
      </c>
      <c r="J50" s="78">
        <f>(H50-I50)/H50</f>
        <v>2.4999999999999873E-2</v>
      </c>
      <c r="K50" s="299"/>
    </row>
    <row r="51" spans="1:16" x14ac:dyDescent="0.3">
      <c r="A51" s="291"/>
      <c r="B51" s="285" t="s">
        <v>47</v>
      </c>
      <c r="C51" s="285"/>
      <c r="D51" s="294"/>
      <c r="E51" s="282">
        <v>3</v>
      </c>
      <c r="F51" s="46" t="s">
        <v>2</v>
      </c>
      <c r="G51" s="80">
        <v>1</v>
      </c>
      <c r="H51" s="84">
        <f>((C45*G51)/60)*$B$42</f>
        <v>71.400000000000006</v>
      </c>
      <c r="I51" s="119">
        <f>H51*(1-J51)</f>
        <v>67.83</v>
      </c>
      <c r="J51" s="51">
        <v>0.05</v>
      </c>
      <c r="K51" s="299"/>
      <c r="M51">
        <v>60</v>
      </c>
      <c r="N51" s="68">
        <f>I51*(60/(M51*G51))</f>
        <v>67.83</v>
      </c>
    </row>
    <row r="52" spans="1:16" x14ac:dyDescent="0.3">
      <c r="A52" s="291"/>
      <c r="B52" s="285"/>
      <c r="C52" s="285"/>
      <c r="D52" s="294"/>
      <c r="E52" s="283"/>
      <c r="F52" s="47" t="s">
        <v>3</v>
      </c>
      <c r="G52" s="81">
        <v>1</v>
      </c>
      <c r="H52" s="85">
        <f>((C46*G52)/60)*$B$42</f>
        <v>71.400000000000006</v>
      </c>
      <c r="I52" s="121">
        <f t="shared" ref="I52:I53" si="6">H52*(1-J52)</f>
        <v>67.83</v>
      </c>
      <c r="J52" s="52">
        <v>0.05</v>
      </c>
      <c r="K52" s="299"/>
      <c r="M52">
        <v>60</v>
      </c>
      <c r="N52" s="68">
        <f>I52*(60/(M52*G52))</f>
        <v>67.83</v>
      </c>
    </row>
    <row r="53" spans="1:16" ht="15" thickBot="1" x14ac:dyDescent="0.35">
      <c r="A53" s="291"/>
      <c r="B53" s="285"/>
      <c r="C53" s="285"/>
      <c r="D53" s="294"/>
      <c r="E53" s="283"/>
      <c r="F53" s="79" t="s">
        <v>28</v>
      </c>
      <c r="G53" s="82">
        <v>4</v>
      </c>
      <c r="H53" s="86">
        <f>((C47*G53)/60)*$B$42</f>
        <v>35.700000000000003</v>
      </c>
      <c r="I53" s="120">
        <f t="shared" si="6"/>
        <v>33.914999999999999</v>
      </c>
      <c r="J53" s="77">
        <v>0.05</v>
      </c>
      <c r="K53" s="299"/>
      <c r="M53">
        <v>15</v>
      </c>
      <c r="N53" s="68">
        <f>I53*(60/(M53*G53))</f>
        <v>33.914999999999999</v>
      </c>
    </row>
    <row r="54" spans="1:16" ht="15" thickBot="1" x14ac:dyDescent="0.35">
      <c r="A54" s="72"/>
      <c r="B54" s="285"/>
      <c r="C54" s="285"/>
      <c r="D54" s="73"/>
      <c r="E54" s="284"/>
      <c r="F54" s="286" t="s">
        <v>12</v>
      </c>
      <c r="G54" s="287"/>
      <c r="H54" s="87">
        <f>SUM(H51:H53)</f>
        <v>178.5</v>
      </c>
      <c r="I54" s="83">
        <f>SUM(I51:I53)</f>
        <v>169.57499999999999</v>
      </c>
      <c r="J54" s="78">
        <f>(H54-I54)/H54</f>
        <v>5.0000000000000065E-2</v>
      </c>
      <c r="K54" s="299"/>
    </row>
    <row r="55" spans="1:16" ht="18.600000000000001" hidden="1" thickBot="1" x14ac:dyDescent="0.4">
      <c r="A55" s="288" t="s">
        <v>46</v>
      </c>
      <c r="B55" s="289"/>
      <c r="C55" s="289"/>
      <c r="D55" s="289"/>
      <c r="E55" s="289"/>
      <c r="F55" s="289"/>
      <c r="G55" s="289"/>
      <c r="H55" s="289"/>
      <c r="I55" s="289"/>
      <c r="J55" s="289"/>
      <c r="K55" s="290"/>
    </row>
    <row r="56" spans="1:16" s="2" customFormat="1" ht="15" hidden="1" thickBot="1" x14ac:dyDescent="0.35">
      <c r="A56" s="291"/>
      <c r="B56" s="292" t="s">
        <v>27</v>
      </c>
      <c r="C56" s="293"/>
      <c r="D56" s="294"/>
      <c r="E56" s="296" t="s">
        <v>23</v>
      </c>
      <c r="F56" s="297"/>
      <c r="G56" s="297"/>
      <c r="H56" s="297"/>
      <c r="I56" s="297"/>
      <c r="J56" s="298"/>
      <c r="K56" s="299"/>
    </row>
    <row r="57" spans="1:16" s="3" customFormat="1" ht="29.4" hidden="1" thickBot="1" x14ac:dyDescent="0.35">
      <c r="A57" s="291"/>
      <c r="B57" s="300">
        <v>49</v>
      </c>
      <c r="C57" s="301"/>
      <c r="D57" s="294"/>
      <c r="E57" s="61" t="s">
        <v>31</v>
      </c>
      <c r="F57" s="62" t="s">
        <v>29</v>
      </c>
      <c r="G57" s="62" t="s">
        <v>30</v>
      </c>
      <c r="H57" s="63" t="s">
        <v>19</v>
      </c>
      <c r="I57" s="64" t="s">
        <v>20</v>
      </c>
      <c r="J57" s="65" t="s">
        <v>7</v>
      </c>
      <c r="K57" s="299"/>
    </row>
    <row r="58" spans="1:16" hidden="1" x14ac:dyDescent="0.3">
      <c r="A58" s="291"/>
      <c r="B58" s="66" t="s">
        <v>24</v>
      </c>
      <c r="C58" s="67"/>
      <c r="D58" s="294"/>
      <c r="E58" s="302">
        <v>1</v>
      </c>
      <c r="F58" s="46" t="s">
        <v>2</v>
      </c>
      <c r="G58" s="80">
        <v>1</v>
      </c>
      <c r="H58" s="84">
        <f>((C60*G58)/60)*$B$30</f>
        <v>49</v>
      </c>
      <c r="I58" s="119">
        <f>H58*(1-J58)</f>
        <v>49</v>
      </c>
      <c r="J58" s="51">
        <v>0</v>
      </c>
      <c r="K58" s="299"/>
      <c r="M58">
        <v>60</v>
      </c>
      <c r="N58" s="68">
        <f>I58*(60/(M58*G58))</f>
        <v>49</v>
      </c>
      <c r="P58" s="75">
        <f>(G58*(C60/60))/4</f>
        <v>0.25</v>
      </c>
    </row>
    <row r="59" spans="1:16" ht="15" hidden="1" thickBot="1" x14ac:dyDescent="0.35">
      <c r="A59" s="291"/>
      <c r="B59" s="61" t="s">
        <v>25</v>
      </c>
      <c r="C59" s="65" t="s">
        <v>26</v>
      </c>
      <c r="D59" s="294"/>
      <c r="E59" s="303"/>
      <c r="F59" s="79" t="s">
        <v>28</v>
      </c>
      <c r="G59" s="82">
        <v>8</v>
      </c>
      <c r="H59" s="86">
        <f>((C61*G59)/60)*$B$30</f>
        <v>98</v>
      </c>
      <c r="I59" s="120">
        <f>H59*(1-J59)</f>
        <v>98</v>
      </c>
      <c r="J59" s="77">
        <v>0</v>
      </c>
      <c r="K59" s="299"/>
      <c r="M59">
        <v>15</v>
      </c>
      <c r="N59" s="68">
        <f>I59*(60/(M59*G59))</f>
        <v>49</v>
      </c>
      <c r="P59" s="75">
        <f>(G59*(C61/60))/4</f>
        <v>0.5</v>
      </c>
    </row>
    <row r="60" spans="1:16" ht="15" hidden="1" thickBot="1" x14ac:dyDescent="0.35">
      <c r="A60" s="291"/>
      <c r="B60" s="88" t="s">
        <v>38</v>
      </c>
      <c r="C60" s="90">
        <v>60</v>
      </c>
      <c r="D60" s="294"/>
      <c r="E60" s="304"/>
      <c r="F60" s="286" t="s">
        <v>12</v>
      </c>
      <c r="G60" s="287"/>
      <c r="H60" s="87">
        <f>SUM(H58:H59)</f>
        <v>147</v>
      </c>
      <c r="I60" s="83">
        <f>SUM(I58:I59)</f>
        <v>147</v>
      </c>
      <c r="J60" s="78">
        <f>(H60-I60)/H60</f>
        <v>0</v>
      </c>
      <c r="K60" s="299"/>
      <c r="P60" s="76">
        <f>P58+P59</f>
        <v>0.75</v>
      </c>
    </row>
    <row r="61" spans="1:16" ht="15" hidden="1" thickBot="1" x14ac:dyDescent="0.35">
      <c r="A61" s="291"/>
      <c r="B61" s="89" t="s">
        <v>48</v>
      </c>
      <c r="C61" s="91">
        <v>15</v>
      </c>
      <c r="D61" s="294"/>
      <c r="E61" s="302">
        <v>2</v>
      </c>
      <c r="F61" s="46" t="s">
        <v>2</v>
      </c>
      <c r="G61" s="80">
        <v>1</v>
      </c>
      <c r="H61" s="84">
        <f>((C60*G61)/60)*$B$30</f>
        <v>49</v>
      </c>
      <c r="I61" s="119">
        <f>H61*(1-J61)</f>
        <v>46.55</v>
      </c>
      <c r="J61" s="51">
        <v>0.05</v>
      </c>
      <c r="K61" s="299"/>
      <c r="M61">
        <v>60</v>
      </c>
      <c r="N61" s="68">
        <f>I61*(60/(M61*G61))</f>
        <v>46.55</v>
      </c>
    </row>
    <row r="62" spans="1:16" ht="15" hidden="1" thickBot="1" x14ac:dyDescent="0.35">
      <c r="A62" s="291"/>
      <c r="B62" s="71"/>
      <c r="C62" s="71"/>
      <c r="D62" s="294"/>
      <c r="E62" s="303"/>
      <c r="F62" s="79" t="s">
        <v>28</v>
      </c>
      <c r="G62" s="82">
        <v>8</v>
      </c>
      <c r="H62" s="86">
        <f>((C61*G62)/60)*$B$30</f>
        <v>98</v>
      </c>
      <c r="I62" s="120">
        <f>H62*(1-J62)</f>
        <v>93.1</v>
      </c>
      <c r="J62" s="77">
        <v>0.05</v>
      </c>
      <c r="K62" s="299"/>
      <c r="M62">
        <v>15</v>
      </c>
      <c r="N62" s="68">
        <f>I62*(60/(M62*G62))</f>
        <v>46.55</v>
      </c>
    </row>
    <row r="63" spans="1:16" ht="15" hidden="1" customHeight="1" thickBot="1" x14ac:dyDescent="0.35">
      <c r="A63" s="291"/>
      <c r="B63" s="285" t="s">
        <v>34</v>
      </c>
      <c r="C63" s="285"/>
      <c r="D63" s="294"/>
      <c r="E63" s="304"/>
      <c r="F63" s="286" t="s">
        <v>12</v>
      </c>
      <c r="G63" s="287"/>
      <c r="H63" s="87">
        <f>SUM(H61:H62)</f>
        <v>147</v>
      </c>
      <c r="I63" s="83">
        <f>SUM(I61:I62)</f>
        <v>139.64999999999998</v>
      </c>
      <c r="J63" s="78">
        <f>(H63-I63)/H63</f>
        <v>5.0000000000000155E-2</v>
      </c>
      <c r="K63" s="299"/>
      <c r="N63" s="68"/>
    </row>
    <row r="64" spans="1:16" hidden="1" x14ac:dyDescent="0.3">
      <c r="A64" s="291"/>
      <c r="B64" s="305" t="s">
        <v>41</v>
      </c>
      <c r="C64" s="305"/>
      <c r="D64" s="294"/>
      <c r="E64" s="302">
        <v>3</v>
      </c>
      <c r="F64" s="46" t="s">
        <v>2</v>
      </c>
      <c r="G64" s="80">
        <v>1</v>
      </c>
      <c r="H64" s="84">
        <f>((C60*G64)/60)*$B$30</f>
        <v>49</v>
      </c>
      <c r="I64" s="119">
        <f>H64*(1-J64)</f>
        <v>44.1</v>
      </c>
      <c r="J64" s="51">
        <v>0.1</v>
      </c>
      <c r="K64" s="299"/>
      <c r="M64">
        <v>60</v>
      </c>
      <c r="N64" s="68">
        <f>I64*(60/(M64*G64))</f>
        <v>44.1</v>
      </c>
    </row>
    <row r="65" spans="1:16" ht="15" hidden="1" thickBot="1" x14ac:dyDescent="0.35">
      <c r="A65" s="291"/>
      <c r="B65" s="305" t="s">
        <v>42</v>
      </c>
      <c r="C65" s="305"/>
      <c r="D65" s="294"/>
      <c r="E65" s="303"/>
      <c r="F65" s="79" t="s">
        <v>28</v>
      </c>
      <c r="G65" s="82">
        <v>8</v>
      </c>
      <c r="H65" s="86">
        <f>((C61*G65)/60)*$B$30</f>
        <v>98</v>
      </c>
      <c r="I65" s="120">
        <f>H65*(1-J65)</f>
        <v>88.2</v>
      </c>
      <c r="J65" s="77">
        <v>0.1</v>
      </c>
      <c r="K65" s="299"/>
      <c r="M65">
        <v>15</v>
      </c>
      <c r="N65" s="68">
        <f>I65*(60/(M65*G65))</f>
        <v>44.1</v>
      </c>
    </row>
    <row r="66" spans="1:16" ht="15" hidden="1" thickBot="1" x14ac:dyDescent="0.35">
      <c r="A66" s="291"/>
      <c r="B66" s="285" t="s">
        <v>40</v>
      </c>
      <c r="C66" s="285"/>
      <c r="D66" s="294"/>
      <c r="E66" s="304"/>
      <c r="F66" s="286" t="s">
        <v>12</v>
      </c>
      <c r="G66" s="287"/>
      <c r="H66" s="87">
        <f>SUM(H64:H65)</f>
        <v>147</v>
      </c>
      <c r="I66" s="83">
        <f>SUM(I64:I65)</f>
        <v>132.30000000000001</v>
      </c>
      <c r="J66" s="78">
        <f>(H66-I66)/H66</f>
        <v>9.9999999999999922E-2</v>
      </c>
      <c r="K66" s="299"/>
    </row>
    <row r="67" spans="1:16" ht="18.600000000000001" thickBot="1" x14ac:dyDescent="0.4">
      <c r="A67" s="288" t="s">
        <v>94</v>
      </c>
      <c r="B67" s="289"/>
      <c r="C67" s="289"/>
      <c r="D67" s="289"/>
      <c r="E67" s="289"/>
      <c r="F67" s="289"/>
      <c r="G67" s="289"/>
      <c r="H67" s="289"/>
      <c r="I67" s="289"/>
      <c r="J67" s="289"/>
      <c r="K67" s="290"/>
    </row>
    <row r="68" spans="1:16" s="2" customFormat="1" ht="15" thickBot="1" x14ac:dyDescent="0.35">
      <c r="A68" s="291"/>
      <c r="B68" s="292" t="s">
        <v>27</v>
      </c>
      <c r="C68" s="293"/>
      <c r="D68" s="294"/>
      <c r="E68" s="296" t="s">
        <v>23</v>
      </c>
      <c r="F68" s="297"/>
      <c r="G68" s="297"/>
      <c r="H68" s="297"/>
      <c r="I68" s="297"/>
      <c r="J68" s="298"/>
      <c r="K68" s="299"/>
    </row>
    <row r="69" spans="1:16" s="3" customFormat="1" ht="29.4" thickBot="1" x14ac:dyDescent="0.35">
      <c r="A69" s="291"/>
      <c r="B69" s="300">
        <v>35.700000000000003</v>
      </c>
      <c r="C69" s="301"/>
      <c r="D69" s="294"/>
      <c r="E69" s="61" t="s">
        <v>31</v>
      </c>
      <c r="F69" s="62" t="s">
        <v>29</v>
      </c>
      <c r="G69" s="62" t="s">
        <v>30</v>
      </c>
      <c r="H69" s="63" t="s">
        <v>19</v>
      </c>
      <c r="I69" s="64" t="s">
        <v>20</v>
      </c>
      <c r="J69" s="65" t="s">
        <v>7</v>
      </c>
      <c r="K69" s="299"/>
    </row>
    <row r="70" spans="1:16" x14ac:dyDescent="0.3">
      <c r="A70" s="291"/>
      <c r="B70" s="306" t="s">
        <v>24</v>
      </c>
      <c r="C70" s="307"/>
      <c r="D70" s="294"/>
      <c r="E70" s="282">
        <v>1</v>
      </c>
      <c r="F70" s="46" t="s">
        <v>2</v>
      </c>
      <c r="G70" s="80">
        <v>1</v>
      </c>
      <c r="H70" s="84">
        <f>((C72*G70)/60)*$B$69</f>
        <v>71.400000000000006</v>
      </c>
      <c r="I70" s="119">
        <f>H70*(1-J70)</f>
        <v>71.400000000000006</v>
      </c>
      <c r="J70" s="51">
        <v>0</v>
      </c>
      <c r="K70" s="299"/>
      <c r="M70">
        <v>60</v>
      </c>
      <c r="N70" s="68">
        <f>I70*(60/(M70*G70))</f>
        <v>71.400000000000006</v>
      </c>
      <c r="P70" s="75">
        <f>(G70*(C72/60))/4</f>
        <v>0.5</v>
      </c>
    </row>
    <row r="71" spans="1:16" ht="15" thickBot="1" x14ac:dyDescent="0.35">
      <c r="A71" s="291"/>
      <c r="B71" s="61" t="s">
        <v>25</v>
      </c>
      <c r="C71" s="65" t="s">
        <v>26</v>
      </c>
      <c r="D71" s="294"/>
      <c r="E71" s="283"/>
      <c r="F71" s="47" t="s">
        <v>3</v>
      </c>
      <c r="G71" s="81">
        <v>1</v>
      </c>
      <c r="H71" s="85">
        <f>((C73*G71)/60)*$B$69</f>
        <v>71.400000000000006</v>
      </c>
      <c r="I71" s="121">
        <f t="shared" ref="I71:I72" si="7">H71*(1-J71)</f>
        <v>71.400000000000006</v>
      </c>
      <c r="J71" s="52">
        <v>0</v>
      </c>
      <c r="K71" s="299"/>
      <c r="M71">
        <v>60</v>
      </c>
      <c r="N71" s="68">
        <f>I71*(60/(M71*G71))</f>
        <v>71.400000000000006</v>
      </c>
      <c r="P71" s="75">
        <f>(G71*(C73/60))/4</f>
        <v>0.5</v>
      </c>
    </row>
    <row r="72" spans="1:16" ht="15" thickBot="1" x14ac:dyDescent="0.35">
      <c r="A72" s="291"/>
      <c r="B72" s="92" t="s">
        <v>2</v>
      </c>
      <c r="C72" s="90">
        <v>120</v>
      </c>
      <c r="D72" s="294"/>
      <c r="E72" s="283"/>
      <c r="F72" s="79" t="s">
        <v>28</v>
      </c>
      <c r="G72" s="82">
        <v>8</v>
      </c>
      <c r="H72" s="86">
        <f>((C74*G72)/60)*$B$69</f>
        <v>71.400000000000006</v>
      </c>
      <c r="I72" s="120">
        <f t="shared" si="7"/>
        <v>71.400000000000006</v>
      </c>
      <c r="J72" s="77">
        <v>0</v>
      </c>
      <c r="K72" s="299"/>
      <c r="M72">
        <v>15</v>
      </c>
      <c r="N72" s="68">
        <f>I72*(60/(M72*G72))</f>
        <v>35.700000000000003</v>
      </c>
      <c r="P72" s="75">
        <f>(G72*(C74/60))/4</f>
        <v>0.5</v>
      </c>
    </row>
    <row r="73" spans="1:16" ht="15" thickBot="1" x14ac:dyDescent="0.35">
      <c r="A73" s="291"/>
      <c r="B73" s="93" t="s">
        <v>39</v>
      </c>
      <c r="C73" s="94">
        <v>120</v>
      </c>
      <c r="D73" s="294"/>
      <c r="E73" s="284"/>
      <c r="F73" s="286" t="s">
        <v>12</v>
      </c>
      <c r="G73" s="287"/>
      <c r="H73" s="87">
        <f>SUM(H70:H72)</f>
        <v>214.20000000000002</v>
      </c>
      <c r="I73" s="83">
        <f>SUM(I70:I72)</f>
        <v>214.20000000000002</v>
      </c>
      <c r="J73" s="78">
        <f>(H73-I73)/H73</f>
        <v>0</v>
      </c>
      <c r="K73" s="299"/>
      <c r="P73" s="76">
        <f>P70+P71+P72</f>
        <v>1.5</v>
      </c>
    </row>
    <row r="74" spans="1:16" ht="15" thickBot="1" x14ac:dyDescent="0.35">
      <c r="A74" s="291"/>
      <c r="B74" s="89" t="s">
        <v>48</v>
      </c>
      <c r="C74" s="91">
        <v>15</v>
      </c>
      <c r="D74" s="294"/>
      <c r="E74" s="282">
        <v>2</v>
      </c>
      <c r="F74" s="46" t="s">
        <v>2</v>
      </c>
      <c r="G74" s="80">
        <v>1</v>
      </c>
      <c r="H74" s="84">
        <f>((C72*G74)/60)*$B$69</f>
        <v>71.400000000000006</v>
      </c>
      <c r="I74" s="119">
        <f>H74*(1-J74)</f>
        <v>67.83</v>
      </c>
      <c r="J74" s="51">
        <v>0.05</v>
      </c>
      <c r="K74" s="299"/>
      <c r="M74">
        <v>60</v>
      </c>
      <c r="N74" s="68">
        <f>I74*(60/(M74*G74))</f>
        <v>67.83</v>
      </c>
    </row>
    <row r="75" spans="1:16" x14ac:dyDescent="0.3">
      <c r="A75" s="291"/>
      <c r="B75" s="69"/>
      <c r="C75" s="70"/>
      <c r="D75" s="295"/>
      <c r="E75" s="283"/>
      <c r="F75" s="47" t="s">
        <v>3</v>
      </c>
      <c r="G75" s="81">
        <v>1</v>
      </c>
      <c r="H75" s="85">
        <f>((C73*G75)/60)*$B$69</f>
        <v>71.400000000000006</v>
      </c>
      <c r="I75" s="121">
        <f t="shared" ref="I75:I76" si="8">H75*(1-J75)</f>
        <v>67.83</v>
      </c>
      <c r="J75" s="52">
        <v>0.05</v>
      </c>
      <c r="K75" s="299"/>
      <c r="M75">
        <v>60</v>
      </c>
      <c r="N75" s="68">
        <f>I75*(60/(M75*G75))</f>
        <v>67.83</v>
      </c>
    </row>
    <row r="76" spans="1:16" ht="15" thickBot="1" x14ac:dyDescent="0.35">
      <c r="A76" s="291"/>
      <c r="B76" s="285" t="s">
        <v>36</v>
      </c>
      <c r="C76" s="285"/>
      <c r="D76" s="294"/>
      <c r="E76" s="283"/>
      <c r="F76" s="79" t="s">
        <v>28</v>
      </c>
      <c r="G76" s="82">
        <v>8</v>
      </c>
      <c r="H76" s="86">
        <f>((C74*G76)/60)*$B$69</f>
        <v>71.400000000000006</v>
      </c>
      <c r="I76" s="120">
        <f t="shared" si="8"/>
        <v>67.83</v>
      </c>
      <c r="J76" s="77">
        <v>0.05</v>
      </c>
      <c r="K76" s="299"/>
      <c r="M76">
        <v>15</v>
      </c>
      <c r="N76" s="68">
        <f>I76*(60/(M76*G76))</f>
        <v>33.914999999999999</v>
      </c>
    </row>
    <row r="77" spans="1:16" ht="15" thickBot="1" x14ac:dyDescent="0.35">
      <c r="A77" s="291"/>
      <c r="B77" s="285" t="s">
        <v>37</v>
      </c>
      <c r="C77" s="285"/>
      <c r="D77" s="294"/>
      <c r="E77" s="284"/>
      <c r="F77" s="286" t="s">
        <v>12</v>
      </c>
      <c r="G77" s="287"/>
      <c r="H77" s="87">
        <f>SUM(H74:H76)</f>
        <v>214.20000000000002</v>
      </c>
      <c r="I77" s="83">
        <f>SUM(I74:I76)</f>
        <v>203.49</v>
      </c>
      <c r="J77" s="78">
        <f>(H77-I77)/H77</f>
        <v>5.0000000000000031E-2</v>
      </c>
      <c r="K77" s="299"/>
    </row>
    <row r="78" spans="1:16" x14ac:dyDescent="0.3">
      <c r="A78" s="291"/>
      <c r="B78" s="285" t="s">
        <v>40</v>
      </c>
      <c r="C78" s="285"/>
      <c r="D78" s="294"/>
      <c r="E78" s="282">
        <v>3</v>
      </c>
      <c r="F78" s="46" t="s">
        <v>2</v>
      </c>
      <c r="G78" s="80">
        <v>1</v>
      </c>
      <c r="H78" s="84">
        <f>((C72*G78)/60)*$B$69</f>
        <v>71.400000000000006</v>
      </c>
      <c r="I78" s="119">
        <f>H78*(1-J78)</f>
        <v>64.260000000000005</v>
      </c>
      <c r="J78" s="51">
        <v>0.1</v>
      </c>
      <c r="K78" s="299"/>
      <c r="M78">
        <v>60</v>
      </c>
      <c r="N78" s="68">
        <f>I78*(60/(M78*G78))</f>
        <v>64.260000000000005</v>
      </c>
    </row>
    <row r="79" spans="1:16" x14ac:dyDescent="0.3">
      <c r="A79" s="291"/>
      <c r="B79" s="285"/>
      <c r="C79" s="285"/>
      <c r="D79" s="294"/>
      <c r="E79" s="283"/>
      <c r="F79" s="47" t="s">
        <v>3</v>
      </c>
      <c r="G79" s="81">
        <v>1</v>
      </c>
      <c r="H79" s="85">
        <f>((C73*G79)/60)*$B$69</f>
        <v>71.400000000000006</v>
      </c>
      <c r="I79" s="121">
        <f t="shared" ref="I79:I80" si="9">H79*(1-J79)</f>
        <v>64.260000000000005</v>
      </c>
      <c r="J79" s="52">
        <v>0.1</v>
      </c>
      <c r="K79" s="299"/>
      <c r="M79">
        <v>60</v>
      </c>
      <c r="N79" s="68">
        <f>I79*(60/(M79*G79))</f>
        <v>64.260000000000005</v>
      </c>
    </row>
    <row r="80" spans="1:16" ht="15" thickBot="1" x14ac:dyDescent="0.35">
      <c r="A80" s="291"/>
      <c r="B80" s="285"/>
      <c r="C80" s="285"/>
      <c r="D80" s="294"/>
      <c r="E80" s="283"/>
      <c r="F80" s="79" t="s">
        <v>28</v>
      </c>
      <c r="G80" s="82">
        <v>8</v>
      </c>
      <c r="H80" s="86">
        <f>((C74*G80)/60)*$B$69</f>
        <v>71.400000000000006</v>
      </c>
      <c r="I80" s="120">
        <f t="shared" si="9"/>
        <v>64.260000000000005</v>
      </c>
      <c r="J80" s="77">
        <v>0.1</v>
      </c>
      <c r="K80" s="299"/>
      <c r="M80">
        <v>15</v>
      </c>
      <c r="N80" s="68">
        <f>I80*(60/(M80*G80))</f>
        <v>32.130000000000003</v>
      </c>
    </row>
    <row r="81" spans="1:11" ht="15" thickBot="1" x14ac:dyDescent="0.35">
      <c r="A81" s="72"/>
      <c r="B81" s="285"/>
      <c r="C81" s="285"/>
      <c r="D81" s="73"/>
      <c r="E81" s="284"/>
      <c r="F81" s="286" t="s">
        <v>12</v>
      </c>
      <c r="G81" s="287"/>
      <c r="H81" s="87">
        <f>SUM(H78:H80)</f>
        <v>214.20000000000002</v>
      </c>
      <c r="I81" s="83">
        <f>SUM(I78:I80)</f>
        <v>192.78000000000003</v>
      </c>
      <c r="J81" s="78">
        <f>(H81-I81)/H81</f>
        <v>9.9999999999999936E-2</v>
      </c>
      <c r="K81" s="299"/>
    </row>
    <row r="82" spans="1:11" x14ac:dyDescent="0.3">
      <c r="A82" s="73"/>
      <c r="B82" s="73"/>
      <c r="C82" s="74"/>
      <c r="D82" s="73"/>
      <c r="E82" s="73"/>
      <c r="F82" s="73"/>
      <c r="G82" s="73"/>
      <c r="H82" s="73"/>
      <c r="I82" s="73"/>
      <c r="J82" s="73"/>
      <c r="K82" s="73"/>
    </row>
  </sheetData>
  <mergeCells count="112">
    <mergeCell ref="B43:C43"/>
    <mergeCell ref="B70:C70"/>
    <mergeCell ref="Q4:Q6"/>
    <mergeCell ref="E47:E50"/>
    <mergeCell ref="B49:C49"/>
    <mergeCell ref="B50:C50"/>
    <mergeCell ref="F50:G50"/>
    <mergeCell ref="B9:C9"/>
    <mergeCell ref="B12:C12"/>
    <mergeCell ref="B11:C11"/>
    <mergeCell ref="B22:C22"/>
    <mergeCell ref="B24:C24"/>
    <mergeCell ref="B42:C42"/>
    <mergeCell ref="B23:C23"/>
    <mergeCell ref="B10:C10"/>
    <mergeCell ref="B27:C27"/>
    <mergeCell ref="B25:C25"/>
    <mergeCell ref="B26:C26"/>
    <mergeCell ref="B37:C37"/>
    <mergeCell ref="B38:C38"/>
    <mergeCell ref="B29:C29"/>
    <mergeCell ref="E29:J29"/>
    <mergeCell ref="B30:C30"/>
    <mergeCell ref="A28:K28"/>
    <mergeCell ref="A13:K13"/>
    <mergeCell ref="A14:A26"/>
    <mergeCell ref="B14:C14"/>
    <mergeCell ref="D14:D26"/>
    <mergeCell ref="E14:J14"/>
    <mergeCell ref="K14:K27"/>
    <mergeCell ref="B15:C15"/>
    <mergeCell ref="E16:E19"/>
    <mergeCell ref="F19:G19"/>
    <mergeCell ref="E20:E23"/>
    <mergeCell ref="F23:G23"/>
    <mergeCell ref="E24:E27"/>
    <mergeCell ref="F27:G27"/>
    <mergeCell ref="A1:K1"/>
    <mergeCell ref="A2:A12"/>
    <mergeCell ref="B2:C2"/>
    <mergeCell ref="D2:D12"/>
    <mergeCell ref="E2:J2"/>
    <mergeCell ref="K2:K12"/>
    <mergeCell ref="F12:G12"/>
    <mergeCell ref="B3:C3"/>
    <mergeCell ref="F6:G6"/>
    <mergeCell ref="F9:G9"/>
    <mergeCell ref="E4:E6"/>
    <mergeCell ref="E7:E9"/>
    <mergeCell ref="E10:E12"/>
    <mergeCell ref="B4:C4"/>
    <mergeCell ref="B51:C51"/>
    <mergeCell ref="E51:E54"/>
    <mergeCell ref="B52:C52"/>
    <mergeCell ref="B53:C53"/>
    <mergeCell ref="B54:C54"/>
    <mergeCell ref="A29:A39"/>
    <mergeCell ref="D29:D39"/>
    <mergeCell ref="K29:K39"/>
    <mergeCell ref="E31:E33"/>
    <mergeCell ref="F33:G33"/>
    <mergeCell ref="E34:E36"/>
    <mergeCell ref="B36:C36"/>
    <mergeCell ref="F36:G36"/>
    <mergeCell ref="E37:E39"/>
    <mergeCell ref="F39:G39"/>
    <mergeCell ref="B39:C39"/>
    <mergeCell ref="B41:C41"/>
    <mergeCell ref="A40:K40"/>
    <mergeCell ref="A41:A53"/>
    <mergeCell ref="D41:D53"/>
    <mergeCell ref="E41:J41"/>
    <mergeCell ref="K41:K54"/>
    <mergeCell ref="E43:E46"/>
    <mergeCell ref="F46:G46"/>
    <mergeCell ref="F54:G54"/>
    <mergeCell ref="A55:K55"/>
    <mergeCell ref="A56:A66"/>
    <mergeCell ref="B56:C56"/>
    <mergeCell ref="D56:D66"/>
    <mergeCell ref="E56:J56"/>
    <mergeCell ref="K56:K66"/>
    <mergeCell ref="B57:C57"/>
    <mergeCell ref="E58:E60"/>
    <mergeCell ref="F60:G60"/>
    <mergeCell ref="E61:E63"/>
    <mergeCell ref="B63:C63"/>
    <mergeCell ref="F63:G63"/>
    <mergeCell ref="B64:C64"/>
    <mergeCell ref="E64:E66"/>
    <mergeCell ref="B65:C65"/>
    <mergeCell ref="E78:E81"/>
    <mergeCell ref="B79:C79"/>
    <mergeCell ref="B80:C80"/>
    <mergeCell ref="B81:C81"/>
    <mergeCell ref="F81:G81"/>
    <mergeCell ref="B66:C66"/>
    <mergeCell ref="F66:G66"/>
    <mergeCell ref="A67:K67"/>
    <mergeCell ref="A68:A80"/>
    <mergeCell ref="B68:C68"/>
    <mergeCell ref="D68:D80"/>
    <mergeCell ref="E68:J68"/>
    <mergeCell ref="K68:K81"/>
    <mergeCell ref="B69:C69"/>
    <mergeCell ref="E70:E73"/>
    <mergeCell ref="F73:G73"/>
    <mergeCell ref="E74:E77"/>
    <mergeCell ref="B76:C76"/>
    <mergeCell ref="B77:C77"/>
    <mergeCell ref="F77:G77"/>
    <mergeCell ref="B78:C7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6"/>
  <sheetViews>
    <sheetView tabSelected="1" zoomScaleNormal="100" workbookViewId="0">
      <selection activeCell="V19" sqref="V19"/>
    </sheetView>
  </sheetViews>
  <sheetFormatPr defaultRowHeight="14.4" x14ac:dyDescent="0.3"/>
  <cols>
    <col min="1" max="1" width="2.77734375" customWidth="1"/>
    <col min="2" max="2" width="11.33203125" customWidth="1"/>
    <col min="3" max="4" width="8.21875" customWidth="1"/>
    <col min="5" max="5" width="11" style="1" bestFit="1" customWidth="1"/>
    <col min="6" max="6" width="2.77734375" customWidth="1"/>
    <col min="7" max="7" width="8" bestFit="1" customWidth="1"/>
    <col min="8" max="8" width="11.44140625" bestFit="1" customWidth="1"/>
    <col min="9" max="9" width="8.88671875" bestFit="1" customWidth="1"/>
    <col min="10" max="10" width="9.88671875" customWidth="1"/>
    <col min="11" max="11" width="14.6640625" customWidth="1"/>
    <col min="12" max="12" width="16.88671875" customWidth="1"/>
    <col min="13" max="13" width="15.21875" bestFit="1" customWidth="1"/>
    <col min="14" max="14" width="18.109375" bestFit="1" customWidth="1"/>
    <col min="15" max="15" width="8.88671875" customWidth="1"/>
    <col min="16" max="16" width="2.77734375" customWidth="1"/>
    <col min="17" max="17" width="3.5546875" hidden="1" customWidth="1"/>
    <col min="18" max="19" width="8.88671875" hidden="1" customWidth="1"/>
    <col min="20" max="20" width="2.88671875" style="36" customWidth="1"/>
    <col min="21" max="21" width="12.6640625" bestFit="1" customWidth="1"/>
    <col min="22" max="22" width="17.77734375" bestFit="1" customWidth="1"/>
    <col min="23" max="23" width="7.77734375" bestFit="1" customWidth="1"/>
    <col min="24" max="25" width="14.6640625" customWidth="1"/>
    <col min="26" max="27" width="14.6640625" hidden="1" customWidth="1"/>
    <col min="28" max="29" width="14.6640625" customWidth="1"/>
    <col min="30" max="30" width="25" customWidth="1"/>
    <col min="31" max="31" width="2.6640625" customWidth="1"/>
    <col min="32" max="32" width="7.44140625" bestFit="1" customWidth="1"/>
    <col min="33" max="33" width="8.33203125" bestFit="1" customWidth="1"/>
    <col min="34" max="34" width="6.6640625" bestFit="1" customWidth="1"/>
    <col min="35" max="35" width="7" bestFit="1" customWidth="1"/>
  </cols>
  <sheetData>
    <row r="1" spans="1:35" ht="18.600000000000001" thickBot="1" x14ac:dyDescent="0.4">
      <c r="A1" s="288" t="s">
        <v>32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90"/>
    </row>
    <row r="2" spans="1:35" s="2" customFormat="1" ht="15" thickBot="1" x14ac:dyDescent="0.35">
      <c r="A2" s="315"/>
      <c r="B2" s="296" t="s">
        <v>13</v>
      </c>
      <c r="C2" s="297"/>
      <c r="D2" s="314"/>
      <c r="E2" s="298"/>
      <c r="F2" s="294"/>
      <c r="G2" s="311" t="s">
        <v>67</v>
      </c>
      <c r="H2" s="312"/>
      <c r="I2" s="312"/>
      <c r="J2" s="312"/>
      <c r="K2" s="312"/>
      <c r="L2" s="312"/>
      <c r="M2" s="312"/>
      <c r="N2" s="312"/>
      <c r="O2" s="313"/>
      <c r="P2" s="315"/>
      <c r="T2" s="36"/>
      <c r="W2" s="216">
        <v>0.06</v>
      </c>
      <c r="X2" s="2" t="s">
        <v>95</v>
      </c>
      <c r="Z2" s="2" t="s">
        <v>76</v>
      </c>
    </row>
    <row r="3" spans="1:35" s="3" customFormat="1" ht="47.4" customHeight="1" thickBot="1" x14ac:dyDescent="0.35">
      <c r="A3" s="315"/>
      <c r="B3" s="57" t="s">
        <v>0</v>
      </c>
      <c r="C3" s="58" t="s">
        <v>6</v>
      </c>
      <c r="D3" s="166" t="s">
        <v>1</v>
      </c>
      <c r="E3" s="59" t="s">
        <v>17</v>
      </c>
      <c r="F3" s="294"/>
      <c r="G3" s="114" t="s">
        <v>5</v>
      </c>
      <c r="H3" s="115" t="s">
        <v>0</v>
      </c>
      <c r="I3" s="115" t="s">
        <v>51</v>
      </c>
      <c r="J3" s="115" t="s">
        <v>18</v>
      </c>
      <c r="K3" s="115" t="s">
        <v>33</v>
      </c>
      <c r="L3" s="116" t="s">
        <v>104</v>
      </c>
      <c r="M3" s="234" t="s">
        <v>105</v>
      </c>
      <c r="N3" s="117" t="s">
        <v>65</v>
      </c>
      <c r="O3" s="118" t="s">
        <v>106</v>
      </c>
      <c r="P3" s="299"/>
      <c r="T3" s="250"/>
      <c r="U3" s="218" t="s">
        <v>60</v>
      </c>
      <c r="V3" s="219" t="s">
        <v>55</v>
      </c>
      <c r="W3" s="220" t="s">
        <v>62</v>
      </c>
      <c r="X3" s="243" t="s">
        <v>74</v>
      </c>
      <c r="Y3" s="243" t="s">
        <v>75</v>
      </c>
      <c r="Z3" s="221" t="s">
        <v>71</v>
      </c>
      <c r="AA3" s="221" t="s">
        <v>72</v>
      </c>
      <c r="AB3" s="221" t="s">
        <v>69</v>
      </c>
      <c r="AC3" s="221" t="s">
        <v>70</v>
      </c>
      <c r="AD3" s="222" t="s">
        <v>57</v>
      </c>
      <c r="AE3" s="33"/>
      <c r="AF3" s="230" t="s">
        <v>96</v>
      </c>
      <c r="AG3" s="230" t="s">
        <v>97</v>
      </c>
      <c r="AH3" s="230" t="s">
        <v>98</v>
      </c>
      <c r="AI3" s="230" t="s">
        <v>99</v>
      </c>
    </row>
    <row r="4" spans="1:35" s="3" customFormat="1" x14ac:dyDescent="0.3">
      <c r="A4" s="315"/>
      <c r="B4" s="49">
        <v>60</v>
      </c>
      <c r="C4" s="50">
        <v>1</v>
      </c>
      <c r="D4" s="169">
        <v>68</v>
      </c>
      <c r="E4" s="43">
        <f>D4*C4</f>
        <v>68</v>
      </c>
      <c r="F4" s="294"/>
      <c r="G4" s="47">
        <v>1</v>
      </c>
      <c r="H4" s="50">
        <v>60</v>
      </c>
      <c r="I4" s="50">
        <v>4</v>
      </c>
      <c r="J4" s="50"/>
      <c r="K4" s="50">
        <f>(H4/60)*I4</f>
        <v>4</v>
      </c>
      <c r="L4" s="44">
        <f>E5</f>
        <v>270</v>
      </c>
      <c r="M4" s="235">
        <f>L4+(I4*O4)</f>
        <v>274</v>
      </c>
      <c r="N4" s="161">
        <f>(M4/K4)*(K4/4)</f>
        <v>68.5</v>
      </c>
      <c r="O4" s="163">
        <v>1</v>
      </c>
      <c r="P4" s="299"/>
      <c r="R4" s="68">
        <f>E4/C4</f>
        <v>68</v>
      </c>
      <c r="S4" s="68">
        <f>M4/(I4+((J4*15)/60))</f>
        <v>68.5</v>
      </c>
      <c r="T4" s="254"/>
      <c r="U4" s="319" t="s">
        <v>61</v>
      </c>
      <c r="V4" s="316" t="s">
        <v>58</v>
      </c>
      <c r="W4" s="180">
        <f>K4</f>
        <v>4</v>
      </c>
      <c r="X4" s="244">
        <f>(AB4/4)*1.06</f>
        <v>71.55</v>
      </c>
      <c r="Y4" s="245">
        <f>(X4*4)/W4</f>
        <v>71.55</v>
      </c>
      <c r="Z4" s="176">
        <f>(AB4/2)*1.03</f>
        <v>139.05000000000001</v>
      </c>
      <c r="AA4" s="177">
        <f>(Z4*2)/W4</f>
        <v>69.525000000000006</v>
      </c>
      <c r="AB4" s="176">
        <f>L4</f>
        <v>270</v>
      </c>
      <c r="AC4" s="177">
        <f>AB4/W4</f>
        <v>67.5</v>
      </c>
      <c r="AD4" s="155">
        <f t="shared" ref="AD4:AD7" si="0">AB4*0.8</f>
        <v>216</v>
      </c>
      <c r="AE4" s="250" t="s">
        <v>108</v>
      </c>
      <c r="AF4" s="172">
        <f>AC4</f>
        <v>67.5</v>
      </c>
      <c r="AG4" s="172">
        <f>(AF4-66.36)*W4</f>
        <v>4.5600000000000023</v>
      </c>
      <c r="AH4" s="209">
        <f>(AF4-66.36)/AF4</f>
        <v>1.6888888888888898E-2</v>
      </c>
      <c r="AI4" s="209">
        <f>(AF4-66.36)/66.36</f>
        <v>1.717902350813744E-2</v>
      </c>
    </row>
    <row r="5" spans="1:35" x14ac:dyDescent="0.3">
      <c r="A5" s="315"/>
      <c r="B5" s="47">
        <v>60</v>
      </c>
      <c r="C5" s="48">
        <v>4</v>
      </c>
      <c r="D5" s="170">
        <v>67.5</v>
      </c>
      <c r="E5" s="43">
        <f>D5*C5</f>
        <v>270</v>
      </c>
      <c r="F5" s="294"/>
      <c r="G5" s="47">
        <v>2</v>
      </c>
      <c r="H5" s="48">
        <v>60</v>
      </c>
      <c r="I5" s="48">
        <v>8</v>
      </c>
      <c r="J5" s="48"/>
      <c r="K5" s="48">
        <f>(H5/60)*I5</f>
        <v>8</v>
      </c>
      <c r="L5" s="44">
        <f t="shared" ref="L5:L8" si="1">E6</f>
        <v>536</v>
      </c>
      <c r="M5" s="235">
        <f>L5+(I5*O5)</f>
        <v>544</v>
      </c>
      <c r="N5" s="161">
        <f>(M5/K5)*(K5/4)</f>
        <v>136</v>
      </c>
      <c r="O5" s="164">
        <v>1</v>
      </c>
      <c r="P5" s="299"/>
      <c r="R5" s="68">
        <f>E5/C5</f>
        <v>67.5</v>
      </c>
      <c r="S5" s="68">
        <f>M5/(I5+((J5*15)/60))</f>
        <v>68</v>
      </c>
      <c r="T5" s="254"/>
      <c r="U5" s="320"/>
      <c r="V5" s="317"/>
      <c r="W5" s="174">
        <f>K5</f>
        <v>8</v>
      </c>
      <c r="X5" s="246">
        <f t="shared" ref="X5:X7" si="2">(AB5/4)*1.06</f>
        <v>142.04000000000002</v>
      </c>
      <c r="Y5" s="247">
        <f t="shared" ref="Y5:Y7" si="3">(X5*4)/W5</f>
        <v>71.02000000000001</v>
      </c>
      <c r="Z5" s="153">
        <f t="shared" ref="Z5:Z7" si="4">(AB5/2)*1.03</f>
        <v>276.04000000000002</v>
      </c>
      <c r="AA5" s="173">
        <f t="shared" ref="AA5:AA7" si="5">(Z5*2)/W5</f>
        <v>69.010000000000005</v>
      </c>
      <c r="AB5" s="153">
        <f>L5</f>
        <v>536</v>
      </c>
      <c r="AC5" s="173">
        <f>AB5/W5</f>
        <v>67</v>
      </c>
      <c r="AD5" s="156">
        <f t="shared" si="0"/>
        <v>428.8</v>
      </c>
      <c r="AE5" s="36" t="s">
        <v>108</v>
      </c>
      <c r="AF5" s="172">
        <f t="shared" ref="AF5:AF8" si="6">AC5</f>
        <v>67</v>
      </c>
      <c r="AG5" s="172">
        <f t="shared" ref="AG5:AG8" si="7">(AF5-66.36)*W5</f>
        <v>5.1200000000000045</v>
      </c>
      <c r="AH5" s="209">
        <f t="shared" ref="AH5:AH8" si="8">(AF5-66.36)/AF5</f>
        <v>9.552238805970158E-3</v>
      </c>
      <c r="AI5" s="209">
        <f t="shared" ref="AI5:AI8" si="9">(AF5-66.36)/66.36</f>
        <v>9.6443640747438299E-3</v>
      </c>
    </row>
    <row r="6" spans="1:35" x14ac:dyDescent="0.3">
      <c r="A6" s="315"/>
      <c r="B6" s="47">
        <v>60</v>
      </c>
      <c r="C6" s="48">
        <v>8</v>
      </c>
      <c r="D6" s="170">
        <v>67</v>
      </c>
      <c r="E6" s="43">
        <f t="shared" ref="E6:E8" si="10">D6*C6</f>
        <v>536</v>
      </c>
      <c r="F6" s="294"/>
      <c r="G6" s="47">
        <v>3</v>
      </c>
      <c r="H6" s="48">
        <v>60</v>
      </c>
      <c r="I6" s="48">
        <v>12</v>
      </c>
      <c r="J6" s="48"/>
      <c r="K6" s="48">
        <f>(H6/60)*I6</f>
        <v>12</v>
      </c>
      <c r="L6" s="44">
        <f t="shared" si="1"/>
        <v>792</v>
      </c>
      <c r="M6" s="235">
        <f>L6+(I6*O6)</f>
        <v>804</v>
      </c>
      <c r="N6" s="161">
        <f>(M6/K6)*(K6/4)</f>
        <v>201</v>
      </c>
      <c r="O6" s="164">
        <v>1</v>
      </c>
      <c r="P6" s="299"/>
      <c r="R6" s="68">
        <f>E6/C6</f>
        <v>67</v>
      </c>
      <c r="S6" s="68">
        <f>M6/(I6+((J6*15)/60))</f>
        <v>67</v>
      </c>
      <c r="T6" s="254"/>
      <c r="U6" s="320"/>
      <c r="V6" s="317"/>
      <c r="W6" s="174">
        <f>K6</f>
        <v>12</v>
      </c>
      <c r="X6" s="246">
        <f t="shared" si="2"/>
        <v>209.88000000000002</v>
      </c>
      <c r="Y6" s="247">
        <f t="shared" si="3"/>
        <v>69.960000000000008</v>
      </c>
      <c r="Z6" s="153">
        <f t="shared" si="4"/>
        <v>407.88</v>
      </c>
      <c r="AA6" s="173">
        <f t="shared" si="5"/>
        <v>67.98</v>
      </c>
      <c r="AB6" s="153">
        <f>L6</f>
        <v>792</v>
      </c>
      <c r="AC6" s="173">
        <f>AB6/W6</f>
        <v>66</v>
      </c>
      <c r="AD6" s="156">
        <f t="shared" si="0"/>
        <v>633.6</v>
      </c>
      <c r="AE6" s="36" t="s">
        <v>108</v>
      </c>
      <c r="AF6" s="172">
        <f t="shared" si="6"/>
        <v>66</v>
      </c>
      <c r="AG6" s="172">
        <f t="shared" si="7"/>
        <v>-4.3199999999999932</v>
      </c>
      <c r="AH6" s="209">
        <f t="shared" si="8"/>
        <v>-5.4545454545454463E-3</v>
      </c>
      <c r="AI6" s="209">
        <f t="shared" si="9"/>
        <v>-5.424954792043391E-3</v>
      </c>
    </row>
    <row r="7" spans="1:35" x14ac:dyDescent="0.3">
      <c r="A7" s="315"/>
      <c r="B7" s="258">
        <v>60</v>
      </c>
      <c r="C7" s="259">
        <v>12</v>
      </c>
      <c r="D7" s="260">
        <v>66</v>
      </c>
      <c r="E7" s="43">
        <f t="shared" si="10"/>
        <v>792</v>
      </c>
      <c r="F7" s="294"/>
      <c r="G7" s="47">
        <v>4</v>
      </c>
      <c r="H7" s="48">
        <v>60</v>
      </c>
      <c r="I7" s="48">
        <v>16</v>
      </c>
      <c r="J7" s="48"/>
      <c r="K7" s="48">
        <f>(H7/60)*I7</f>
        <v>16</v>
      </c>
      <c r="L7" s="44">
        <f t="shared" si="1"/>
        <v>1064</v>
      </c>
      <c r="M7" s="235">
        <f>L7+(I7*O7)</f>
        <v>1080</v>
      </c>
      <c r="N7" s="161">
        <f>(M7/K7)*(K7/4)</f>
        <v>270</v>
      </c>
      <c r="O7" s="164">
        <v>1</v>
      </c>
      <c r="P7" s="299"/>
      <c r="R7" s="68">
        <f>E7/C7</f>
        <v>66</v>
      </c>
      <c r="S7" s="68">
        <f>M7/(I7+((J7*15)/60))</f>
        <v>67.5</v>
      </c>
      <c r="T7" s="254"/>
      <c r="U7" s="320"/>
      <c r="V7" s="317"/>
      <c r="W7" s="174">
        <f>K7</f>
        <v>16</v>
      </c>
      <c r="X7" s="246">
        <f t="shared" si="2"/>
        <v>281.96000000000004</v>
      </c>
      <c r="Y7" s="247">
        <f t="shared" si="3"/>
        <v>70.490000000000009</v>
      </c>
      <c r="Z7" s="153">
        <f t="shared" si="4"/>
        <v>547.96</v>
      </c>
      <c r="AA7" s="173">
        <f t="shared" si="5"/>
        <v>68.495000000000005</v>
      </c>
      <c r="AB7" s="153">
        <f>L7</f>
        <v>1064</v>
      </c>
      <c r="AC7" s="173">
        <f>AB7/W7</f>
        <v>66.5</v>
      </c>
      <c r="AD7" s="156">
        <f t="shared" si="0"/>
        <v>851.2</v>
      </c>
      <c r="AE7" s="36" t="s">
        <v>108</v>
      </c>
      <c r="AF7" s="172">
        <f t="shared" si="6"/>
        <v>66.5</v>
      </c>
      <c r="AG7" s="172">
        <f t="shared" si="7"/>
        <v>2.2400000000000091</v>
      </c>
      <c r="AH7" s="209">
        <f t="shared" si="8"/>
        <v>2.1052631578947455E-3</v>
      </c>
      <c r="AI7" s="209">
        <f t="shared" si="9"/>
        <v>2.1097046413502195E-3</v>
      </c>
    </row>
    <row r="8" spans="1:35" ht="15" thickBot="1" x14ac:dyDescent="0.35">
      <c r="A8" s="315"/>
      <c r="B8" s="47">
        <v>60</v>
      </c>
      <c r="C8" s="48">
        <v>16</v>
      </c>
      <c r="D8" s="171">
        <v>66.5</v>
      </c>
      <c r="E8" s="43">
        <f t="shared" si="10"/>
        <v>1064</v>
      </c>
      <c r="F8" s="294"/>
      <c r="G8" s="96">
        <v>5</v>
      </c>
      <c r="H8" s="97">
        <v>60</v>
      </c>
      <c r="I8" s="97">
        <v>20</v>
      </c>
      <c r="J8" s="97"/>
      <c r="K8" s="97">
        <f>(H8/60)*I8</f>
        <v>20</v>
      </c>
      <c r="L8" s="44">
        <f t="shared" si="1"/>
        <v>1320</v>
      </c>
      <c r="M8" s="235">
        <f>L8+(I8*O8)</f>
        <v>1340</v>
      </c>
      <c r="N8" s="161">
        <f>(M8/K8)*(K8/4)</f>
        <v>335</v>
      </c>
      <c r="O8" s="165">
        <v>1</v>
      </c>
      <c r="P8" s="315"/>
      <c r="R8" s="68"/>
      <c r="U8" s="321"/>
      <c r="V8" s="318"/>
      <c r="W8" s="181">
        <f>K8</f>
        <v>20</v>
      </c>
      <c r="X8" s="248">
        <f t="shared" ref="X8" si="11">(AB8/4)*1.06</f>
        <v>349.8</v>
      </c>
      <c r="Y8" s="249">
        <f t="shared" ref="Y8" si="12">(X8*4)/W8</f>
        <v>69.960000000000008</v>
      </c>
      <c r="Z8" s="178">
        <f t="shared" ref="Z8" si="13">(AB8/2)*1.03</f>
        <v>679.80000000000007</v>
      </c>
      <c r="AA8" s="179">
        <f t="shared" ref="AA8" si="14">(Z8*2)/W8</f>
        <v>67.98</v>
      </c>
      <c r="AB8" s="178">
        <f>L8</f>
        <v>1320</v>
      </c>
      <c r="AC8" s="179">
        <f>AB8/W8</f>
        <v>66</v>
      </c>
      <c r="AD8" s="157">
        <f t="shared" ref="AD8" si="15">AB8*0.8</f>
        <v>1056</v>
      </c>
      <c r="AE8" s="36" t="s">
        <v>108</v>
      </c>
      <c r="AF8" s="172">
        <f t="shared" si="6"/>
        <v>66</v>
      </c>
      <c r="AG8" s="172">
        <f t="shared" si="7"/>
        <v>-7.1999999999999886</v>
      </c>
      <c r="AH8" s="209">
        <f t="shared" si="8"/>
        <v>-5.4545454545454463E-3</v>
      </c>
      <c r="AI8" s="209">
        <f t="shared" si="9"/>
        <v>-5.424954792043391E-3</v>
      </c>
    </row>
    <row r="9" spans="1:35" ht="15" thickBot="1" x14ac:dyDescent="0.35">
      <c r="A9" s="315"/>
      <c r="B9" s="96">
        <v>60</v>
      </c>
      <c r="C9" s="97">
        <v>20</v>
      </c>
      <c r="D9" s="171">
        <v>66</v>
      </c>
      <c r="E9" s="43">
        <f t="shared" ref="E9" si="16">D9*C9</f>
        <v>1320</v>
      </c>
      <c r="F9" s="294"/>
      <c r="G9" s="131"/>
      <c r="H9" s="132"/>
      <c r="I9" s="132"/>
      <c r="J9" s="132"/>
      <c r="K9" s="132"/>
      <c r="L9" s="132"/>
      <c r="M9" s="132"/>
      <c r="N9" s="132"/>
      <c r="O9" s="133"/>
      <c r="P9" s="315"/>
      <c r="R9" s="68"/>
      <c r="AE9" s="36"/>
    </row>
    <row r="10" spans="1:35" ht="15" thickBot="1" x14ac:dyDescent="0.35">
      <c r="A10" s="315"/>
      <c r="B10" s="311" t="s">
        <v>4</v>
      </c>
      <c r="C10" s="312"/>
      <c r="D10" s="312"/>
      <c r="E10" s="313"/>
      <c r="F10" s="294"/>
      <c r="G10" s="311" t="s">
        <v>68</v>
      </c>
      <c r="H10" s="312"/>
      <c r="I10" s="312"/>
      <c r="J10" s="312"/>
      <c r="K10" s="312"/>
      <c r="L10" s="312"/>
      <c r="M10" s="312"/>
      <c r="N10" s="312"/>
      <c r="O10" s="313"/>
      <c r="P10" s="315"/>
      <c r="R10" s="68"/>
      <c r="AE10" s="36"/>
    </row>
    <row r="11" spans="1:35" ht="43.8" thickBot="1" x14ac:dyDescent="0.35">
      <c r="A11" s="315"/>
      <c r="B11" s="322" t="s">
        <v>101</v>
      </c>
      <c r="C11" s="323"/>
      <c r="D11" s="324"/>
      <c r="E11" s="60" t="s">
        <v>14</v>
      </c>
      <c r="F11" s="294"/>
      <c r="G11" s="114" t="s">
        <v>5</v>
      </c>
      <c r="H11" s="115" t="s">
        <v>0</v>
      </c>
      <c r="I11" s="115" t="s">
        <v>51</v>
      </c>
      <c r="J11" s="115" t="s">
        <v>66</v>
      </c>
      <c r="K11" s="115" t="s">
        <v>33</v>
      </c>
      <c r="L11" s="116" t="s">
        <v>102</v>
      </c>
      <c r="M11" s="234" t="s">
        <v>105</v>
      </c>
      <c r="N11" s="117" t="s">
        <v>65</v>
      </c>
      <c r="O11" s="118" t="s">
        <v>7</v>
      </c>
      <c r="P11" s="315"/>
      <c r="U11" s="218" t="s">
        <v>60</v>
      </c>
      <c r="V11" s="219" t="s">
        <v>55</v>
      </c>
      <c r="W11" s="220" t="s">
        <v>62</v>
      </c>
      <c r="X11" s="243" t="s">
        <v>74</v>
      </c>
      <c r="Y11" s="243" t="s">
        <v>75</v>
      </c>
      <c r="Z11" s="221" t="s">
        <v>71</v>
      </c>
      <c r="AA11" s="221" t="s">
        <v>72</v>
      </c>
      <c r="AB11" s="221" t="s">
        <v>69</v>
      </c>
      <c r="AC11" s="221" t="s">
        <v>70</v>
      </c>
      <c r="AD11" s="222" t="s">
        <v>57</v>
      </c>
      <c r="AE11" s="250"/>
      <c r="AF11" s="230" t="s">
        <v>96</v>
      </c>
      <c r="AG11" s="230" t="s">
        <v>97</v>
      </c>
      <c r="AH11" s="230" t="s">
        <v>98</v>
      </c>
      <c r="AI11" s="230" t="s">
        <v>99</v>
      </c>
    </row>
    <row r="12" spans="1:35" ht="14.4" customHeight="1" thickBot="1" x14ac:dyDescent="0.35">
      <c r="A12" s="315"/>
      <c r="B12" s="325">
        <v>22</v>
      </c>
      <c r="C12" s="326"/>
      <c r="D12" s="327"/>
      <c r="E12" s="42">
        <f>(B12/60)*15</f>
        <v>5.5</v>
      </c>
      <c r="F12" s="294"/>
      <c r="G12" s="47">
        <v>1</v>
      </c>
      <c r="H12" s="50">
        <v>60</v>
      </c>
      <c r="I12" s="50">
        <v>4</v>
      </c>
      <c r="J12" s="50">
        <f t="shared" ref="J12:J15" si="17">I12</f>
        <v>4</v>
      </c>
      <c r="K12" s="50">
        <f>(H12/60)*I12</f>
        <v>4</v>
      </c>
      <c r="L12" s="44">
        <f>SUM(E5,($E$12*J12))+((((H12+B12)*I12)/60)*15)</f>
        <v>374</v>
      </c>
      <c r="M12" s="235">
        <f>L12+(I12*O12)</f>
        <v>378</v>
      </c>
      <c r="N12" s="161">
        <f>(M12/K12)*(K12/4)</f>
        <v>94.5</v>
      </c>
      <c r="O12" s="163">
        <v>1</v>
      </c>
      <c r="P12" s="315"/>
      <c r="U12" s="319" t="s">
        <v>100</v>
      </c>
      <c r="V12" s="316" t="s">
        <v>58</v>
      </c>
      <c r="W12" s="180">
        <f>K4</f>
        <v>4</v>
      </c>
      <c r="X12" s="244">
        <f>(AB12/4)*1.06</f>
        <v>72.61</v>
      </c>
      <c r="Y12" s="245">
        <f>(X12*4)/W12</f>
        <v>72.61</v>
      </c>
      <c r="Z12" s="176">
        <f>(AB12/2)*1.03</f>
        <v>141.11000000000001</v>
      </c>
      <c r="AA12" s="177">
        <f>(Z12*2)/W12</f>
        <v>70.555000000000007</v>
      </c>
      <c r="AB12" s="176">
        <f>AC12*W12</f>
        <v>274</v>
      </c>
      <c r="AC12" s="177">
        <f>AC4+1</f>
        <v>68.5</v>
      </c>
      <c r="AD12" s="155">
        <f t="shared" ref="AD12" si="18">AB12*0.8</f>
        <v>219.20000000000002</v>
      </c>
      <c r="AE12" s="250" t="s">
        <v>108</v>
      </c>
      <c r="AF12" s="172">
        <f>AC12</f>
        <v>68.5</v>
      </c>
      <c r="AG12" s="172">
        <f>(AF12-66.36)*W12</f>
        <v>8.5600000000000023</v>
      </c>
      <c r="AH12" s="209">
        <f>(AF12-66.36)/AF12</f>
        <v>3.1240875912408768E-2</v>
      </c>
      <c r="AI12" s="209">
        <f>(AF12-66.36)/66.36</f>
        <v>3.224834237492466E-2</v>
      </c>
    </row>
    <row r="13" spans="1:35" ht="18.600000000000001" thickBot="1" x14ac:dyDescent="0.4">
      <c r="A13" s="134"/>
      <c r="B13" s="135"/>
      <c r="C13" s="135"/>
      <c r="D13" s="135"/>
      <c r="E13" s="135"/>
      <c r="F13" s="135"/>
      <c r="G13" s="47">
        <v>2</v>
      </c>
      <c r="H13" s="48">
        <v>60</v>
      </c>
      <c r="I13" s="48">
        <v>8</v>
      </c>
      <c r="J13" s="50">
        <f t="shared" si="17"/>
        <v>8</v>
      </c>
      <c r="K13" s="48">
        <f>(H13/60)*I13</f>
        <v>8</v>
      </c>
      <c r="L13" s="44">
        <f>SUM(E6,($E$12*J13))+((((H13+B13)*I13)/60)*15)</f>
        <v>700</v>
      </c>
      <c r="M13" s="235">
        <f>L13+(I13*O13)</f>
        <v>708</v>
      </c>
      <c r="N13" s="161">
        <f>(M13/K13)*(K13/4)</f>
        <v>177</v>
      </c>
      <c r="O13" s="164">
        <v>1</v>
      </c>
      <c r="P13" s="136"/>
      <c r="U13" s="320"/>
      <c r="V13" s="317"/>
      <c r="W13" s="174">
        <f>K5</f>
        <v>8</v>
      </c>
      <c r="X13" s="246">
        <f t="shared" ref="X13:X16" si="19">(AB13/4)*1.06</f>
        <v>144.16</v>
      </c>
      <c r="Y13" s="247">
        <f t="shared" ref="Y13:Y16" si="20">(X13*4)/W13</f>
        <v>72.08</v>
      </c>
      <c r="Z13" s="153">
        <f t="shared" ref="Z13:Z16" si="21">(AB13/2)*1.03</f>
        <v>280.16000000000003</v>
      </c>
      <c r="AA13" s="173">
        <f t="shared" ref="AA13:AA16" si="22">(Z13*2)/W13</f>
        <v>70.040000000000006</v>
      </c>
      <c r="AB13" s="153">
        <f>AC13*W13</f>
        <v>544</v>
      </c>
      <c r="AC13" s="173">
        <f t="shared" ref="AC13:AC16" si="23">AC5+1</f>
        <v>68</v>
      </c>
      <c r="AD13" s="156">
        <f t="shared" ref="AD13:AD16" si="24">AB13*0.8</f>
        <v>435.20000000000005</v>
      </c>
      <c r="AE13" s="250" t="s">
        <v>108</v>
      </c>
      <c r="AF13" s="172">
        <f t="shared" ref="AF13:AF16" si="25">AC13</f>
        <v>68</v>
      </c>
      <c r="AG13" s="172">
        <f t="shared" ref="AG13:AG16" si="26">(AF13-66.36)*W13</f>
        <v>13.120000000000005</v>
      </c>
      <c r="AH13" s="209">
        <f t="shared" ref="AH13:AH16" si="27">(AF13-66.36)/AF13</f>
        <v>2.4117647058823539E-2</v>
      </c>
      <c r="AI13" s="209">
        <f t="shared" ref="AI13:AI16" si="28">(AF13-66.36)/66.36</f>
        <v>2.4713682941531052E-2</v>
      </c>
    </row>
    <row r="14" spans="1:35" ht="18.600000000000001" thickBot="1" x14ac:dyDescent="0.4">
      <c r="A14" s="124"/>
      <c r="B14" s="125"/>
      <c r="C14" s="125"/>
      <c r="D14" s="125"/>
      <c r="E14" s="125"/>
      <c r="F14" s="125"/>
      <c r="G14" s="47">
        <v>3</v>
      </c>
      <c r="H14" s="48">
        <v>60</v>
      </c>
      <c r="I14" s="48">
        <v>12</v>
      </c>
      <c r="J14" s="50">
        <f t="shared" si="17"/>
        <v>12</v>
      </c>
      <c r="K14" s="48">
        <f>(H14/60)*I14</f>
        <v>12</v>
      </c>
      <c r="L14" s="44">
        <f>SUM(E7,($E$12*J14))+((((H14+B14)*I14)/60)*15)</f>
        <v>1038</v>
      </c>
      <c r="M14" s="235">
        <f>L14+(I14*O14)</f>
        <v>1050</v>
      </c>
      <c r="N14" s="161">
        <f>(M14/K14)*(K14/4)</f>
        <v>262.5</v>
      </c>
      <c r="O14" s="164">
        <v>1</v>
      </c>
      <c r="P14" s="126"/>
      <c r="U14" s="320"/>
      <c r="V14" s="317"/>
      <c r="W14" s="174">
        <f>K6</f>
        <v>12</v>
      </c>
      <c r="X14" s="246">
        <f t="shared" si="19"/>
        <v>213.06</v>
      </c>
      <c r="Y14" s="247">
        <f t="shared" si="20"/>
        <v>71.02</v>
      </c>
      <c r="Z14" s="153">
        <f t="shared" si="21"/>
        <v>414.06</v>
      </c>
      <c r="AA14" s="173">
        <f t="shared" si="22"/>
        <v>69.010000000000005</v>
      </c>
      <c r="AB14" s="153">
        <f t="shared" ref="AB14:AB16" si="29">AC14*W14</f>
        <v>804</v>
      </c>
      <c r="AC14" s="173">
        <f t="shared" si="23"/>
        <v>67</v>
      </c>
      <c r="AD14" s="156">
        <f t="shared" si="24"/>
        <v>643.20000000000005</v>
      </c>
      <c r="AE14" s="250" t="s">
        <v>108</v>
      </c>
      <c r="AF14" s="172">
        <f t="shared" si="25"/>
        <v>67</v>
      </c>
      <c r="AG14" s="172">
        <f t="shared" si="26"/>
        <v>7.6800000000000068</v>
      </c>
      <c r="AH14" s="209">
        <f t="shared" si="27"/>
        <v>9.552238805970158E-3</v>
      </c>
      <c r="AI14" s="209">
        <f t="shared" si="28"/>
        <v>9.6443640747438299E-3</v>
      </c>
    </row>
    <row r="15" spans="1:35" ht="18.600000000000001" thickBot="1" x14ac:dyDescent="0.4">
      <c r="A15" s="124"/>
      <c r="B15" s="125"/>
      <c r="C15" s="125"/>
      <c r="D15" s="125"/>
      <c r="E15" s="125"/>
      <c r="F15" s="125"/>
      <c r="G15" s="47">
        <v>4</v>
      </c>
      <c r="H15" s="48">
        <v>60</v>
      </c>
      <c r="I15" s="48">
        <v>16</v>
      </c>
      <c r="J15" s="48">
        <f t="shared" si="17"/>
        <v>16</v>
      </c>
      <c r="K15" s="48">
        <f>(H15/60)*I15</f>
        <v>16</v>
      </c>
      <c r="L15" s="44">
        <f>SUM(E8,($E$12*J15))+((((H15+B15)*I15)/60)*15)</f>
        <v>1392</v>
      </c>
      <c r="M15" s="235">
        <f>L15+(I15*O15)</f>
        <v>1408</v>
      </c>
      <c r="N15" s="161">
        <f>(M15/K15)*(K15/4)</f>
        <v>352</v>
      </c>
      <c r="O15" s="164">
        <v>1</v>
      </c>
      <c r="P15" s="126"/>
      <c r="U15" s="320"/>
      <c r="V15" s="317"/>
      <c r="W15" s="174">
        <f>K7</f>
        <v>16</v>
      </c>
      <c r="X15" s="246">
        <f t="shared" si="19"/>
        <v>286.2</v>
      </c>
      <c r="Y15" s="247">
        <f t="shared" si="20"/>
        <v>71.55</v>
      </c>
      <c r="Z15" s="153">
        <f t="shared" si="21"/>
        <v>556.20000000000005</v>
      </c>
      <c r="AA15" s="173">
        <f t="shared" si="22"/>
        <v>69.525000000000006</v>
      </c>
      <c r="AB15" s="153">
        <f t="shared" si="29"/>
        <v>1080</v>
      </c>
      <c r="AC15" s="173">
        <f t="shared" si="23"/>
        <v>67.5</v>
      </c>
      <c r="AD15" s="156">
        <f t="shared" si="24"/>
        <v>864</v>
      </c>
      <c r="AE15" s="250" t="s">
        <v>108</v>
      </c>
      <c r="AF15" s="172">
        <f t="shared" si="25"/>
        <v>67.5</v>
      </c>
      <c r="AG15" s="172">
        <f t="shared" si="26"/>
        <v>18.240000000000009</v>
      </c>
      <c r="AH15" s="209">
        <f t="shared" si="27"/>
        <v>1.6888888888888898E-2</v>
      </c>
      <c r="AI15" s="209">
        <f t="shared" si="28"/>
        <v>1.717902350813744E-2</v>
      </c>
    </row>
    <row r="16" spans="1:35" ht="18.600000000000001" thickBot="1" x14ac:dyDescent="0.4">
      <c r="A16" s="124"/>
      <c r="B16" s="125"/>
      <c r="C16" s="125"/>
      <c r="D16" s="125"/>
      <c r="E16" s="125"/>
      <c r="F16" s="125"/>
      <c r="G16" s="96">
        <v>5</v>
      </c>
      <c r="H16" s="97">
        <v>60</v>
      </c>
      <c r="I16" s="97">
        <v>20</v>
      </c>
      <c r="J16" s="50">
        <f t="shared" ref="J16" si="30">I16</f>
        <v>20</v>
      </c>
      <c r="K16" s="97">
        <f>(H16/60)*I16</f>
        <v>20</v>
      </c>
      <c r="L16" s="44">
        <f>SUM(E9,($E$12*J16))+((((H16+B16)*I16)/60)*15)</f>
        <v>1730</v>
      </c>
      <c r="M16" s="235">
        <f>L16+(I16*O16)</f>
        <v>1750</v>
      </c>
      <c r="N16" s="161">
        <f>(M16/K16)*(K16/4)</f>
        <v>437.5</v>
      </c>
      <c r="O16" s="165">
        <v>1</v>
      </c>
      <c r="P16" s="126"/>
      <c r="U16" s="321"/>
      <c r="V16" s="318"/>
      <c r="W16" s="181">
        <f>K8</f>
        <v>20</v>
      </c>
      <c r="X16" s="248">
        <f t="shared" si="19"/>
        <v>355.1</v>
      </c>
      <c r="Y16" s="249">
        <f t="shared" si="20"/>
        <v>71.02000000000001</v>
      </c>
      <c r="Z16" s="178">
        <f t="shared" si="21"/>
        <v>690.1</v>
      </c>
      <c r="AA16" s="179">
        <f t="shared" si="22"/>
        <v>69.010000000000005</v>
      </c>
      <c r="AB16" s="178">
        <f t="shared" si="29"/>
        <v>1340</v>
      </c>
      <c r="AC16" s="179">
        <f t="shared" si="23"/>
        <v>67</v>
      </c>
      <c r="AD16" s="157">
        <f t="shared" si="24"/>
        <v>1072</v>
      </c>
      <c r="AE16" s="250" t="s">
        <v>108</v>
      </c>
      <c r="AF16" s="172">
        <f t="shared" si="25"/>
        <v>67</v>
      </c>
      <c r="AG16" s="172">
        <f t="shared" si="26"/>
        <v>12.800000000000011</v>
      </c>
      <c r="AH16" s="209">
        <f t="shared" si="27"/>
        <v>9.552238805970158E-3</v>
      </c>
      <c r="AI16" s="209">
        <f t="shared" si="28"/>
        <v>9.6443640747438299E-3</v>
      </c>
    </row>
    <row r="17" spans="1:23" ht="18.600000000000001" thickBot="1" x14ac:dyDescent="0.4">
      <c r="A17" s="288" t="s">
        <v>64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90"/>
    </row>
    <row r="18" spans="1:23" ht="15" thickBot="1" x14ac:dyDescent="0.35">
      <c r="A18" s="291"/>
      <c r="B18" s="296" t="s">
        <v>16</v>
      </c>
      <c r="C18" s="297"/>
      <c r="D18" s="314"/>
      <c r="E18" s="298"/>
      <c r="F18" s="294"/>
      <c r="G18" s="311" t="s">
        <v>49</v>
      </c>
      <c r="H18" s="312"/>
      <c r="I18" s="312"/>
      <c r="J18" s="312"/>
      <c r="K18" s="312"/>
      <c r="L18" s="312"/>
      <c r="M18" s="312"/>
      <c r="N18" s="312"/>
      <c r="O18" s="313"/>
      <c r="P18" s="315"/>
    </row>
    <row r="19" spans="1:23" ht="43.2" x14ac:dyDescent="0.3">
      <c r="A19" s="291"/>
      <c r="B19" s="54" t="s">
        <v>0</v>
      </c>
      <c r="C19" s="55" t="s">
        <v>6</v>
      </c>
      <c r="D19" s="168"/>
      <c r="E19" s="56" t="s">
        <v>17</v>
      </c>
      <c r="F19" s="294"/>
      <c r="G19" s="114" t="s">
        <v>5</v>
      </c>
      <c r="H19" s="115" t="s">
        <v>0</v>
      </c>
      <c r="I19" s="115" t="s">
        <v>51</v>
      </c>
      <c r="J19" s="115" t="s">
        <v>18</v>
      </c>
      <c r="K19" s="115"/>
      <c r="L19" s="116" t="s">
        <v>103</v>
      </c>
      <c r="M19" s="234" t="s">
        <v>105</v>
      </c>
      <c r="N19" s="117" t="s">
        <v>107</v>
      </c>
      <c r="O19" s="118" t="s">
        <v>7</v>
      </c>
      <c r="P19" s="299"/>
      <c r="W19" s="68"/>
    </row>
    <row r="20" spans="1:23" x14ac:dyDescent="0.3">
      <c r="A20" s="291"/>
      <c r="B20" s="49">
        <v>60</v>
      </c>
      <c r="C20" s="50">
        <v>1</v>
      </c>
      <c r="D20" s="167"/>
      <c r="E20" s="43">
        <f t="shared" ref="E20:E25" si="31">E4</f>
        <v>68</v>
      </c>
      <c r="F20" s="294"/>
      <c r="G20" s="49"/>
      <c r="H20" s="50">
        <v>60</v>
      </c>
      <c r="I20" s="50">
        <v>4</v>
      </c>
      <c r="J20" s="50"/>
      <c r="K20" s="50"/>
      <c r="L20" s="44">
        <f>E21*1.05</f>
        <v>283.5</v>
      </c>
      <c r="M20" s="235">
        <f>L20+(I20*1)</f>
        <v>287.5</v>
      </c>
      <c r="N20" s="45">
        <f>L20/2</f>
        <v>141.75</v>
      </c>
      <c r="O20" s="53">
        <f>(M4-N20)/M4</f>
        <v>0.48266423357664234</v>
      </c>
      <c r="P20" s="299"/>
    </row>
    <row r="21" spans="1:23" x14ac:dyDescent="0.3">
      <c r="A21" s="291"/>
      <c r="B21" s="47">
        <v>60</v>
      </c>
      <c r="C21" s="48">
        <v>4</v>
      </c>
      <c r="D21" s="167"/>
      <c r="E21" s="43">
        <f t="shared" si="31"/>
        <v>270</v>
      </c>
      <c r="F21" s="294"/>
      <c r="G21" s="47"/>
      <c r="H21" s="48">
        <v>60</v>
      </c>
      <c r="I21" s="48">
        <v>8</v>
      </c>
      <c r="J21" s="48"/>
      <c r="K21" s="48"/>
      <c r="L21" s="44">
        <f t="shared" ref="L21:L24" si="32">E22*1.05</f>
        <v>562.80000000000007</v>
      </c>
      <c r="M21" s="235">
        <f t="shared" ref="M21:M24" si="33">L21+(I21*1)</f>
        <v>570.80000000000007</v>
      </c>
      <c r="N21" s="45">
        <f>L21/2</f>
        <v>281.40000000000003</v>
      </c>
      <c r="O21" s="52">
        <f>(M5-N21)/M5</f>
        <v>0.48272058823529407</v>
      </c>
      <c r="P21" s="299"/>
    </row>
    <row r="22" spans="1:23" x14ac:dyDescent="0.3">
      <c r="A22" s="291"/>
      <c r="B22" s="47">
        <v>60</v>
      </c>
      <c r="C22" s="48">
        <v>8</v>
      </c>
      <c r="D22" s="167"/>
      <c r="E22" s="43">
        <f t="shared" si="31"/>
        <v>536</v>
      </c>
      <c r="F22" s="294"/>
      <c r="G22" s="236"/>
      <c r="H22" s="95">
        <v>60</v>
      </c>
      <c r="I22" s="95">
        <v>12</v>
      </c>
      <c r="J22" s="95"/>
      <c r="K22" s="95"/>
      <c r="L22" s="44">
        <f t="shared" si="32"/>
        <v>831.6</v>
      </c>
      <c r="M22" s="235">
        <f t="shared" si="33"/>
        <v>843.6</v>
      </c>
      <c r="N22" s="237">
        <f>L22/2</f>
        <v>415.8</v>
      </c>
      <c r="O22" s="77">
        <f>(M6-N22)/M6</f>
        <v>0.48283582089552235</v>
      </c>
      <c r="P22" s="299"/>
    </row>
    <row r="23" spans="1:23" x14ac:dyDescent="0.3">
      <c r="A23" s="291"/>
      <c r="B23" s="79">
        <v>60</v>
      </c>
      <c r="C23" s="95">
        <v>12</v>
      </c>
      <c r="D23" s="48"/>
      <c r="E23" s="43">
        <f t="shared" si="31"/>
        <v>792</v>
      </c>
      <c r="F23" s="294"/>
      <c r="G23" s="238"/>
      <c r="H23" s="48">
        <v>60</v>
      </c>
      <c r="I23" s="48">
        <v>16</v>
      </c>
      <c r="J23" s="48"/>
      <c r="K23" s="48"/>
      <c r="L23" s="44">
        <f t="shared" si="32"/>
        <v>1117.2</v>
      </c>
      <c r="M23" s="235">
        <f t="shared" si="33"/>
        <v>1133.2</v>
      </c>
      <c r="N23" s="223">
        <f>L23/2</f>
        <v>558.6</v>
      </c>
      <c r="O23" s="239">
        <f>(M7-N23)/M7</f>
        <v>0.48277777777777775</v>
      </c>
      <c r="P23" s="299"/>
    </row>
    <row r="24" spans="1:23" ht="15" thickBot="1" x14ac:dyDescent="0.35">
      <c r="A24" s="291"/>
      <c r="B24" s="47">
        <v>60</v>
      </c>
      <c r="C24" s="48">
        <v>16</v>
      </c>
      <c r="D24" s="48"/>
      <c r="E24" s="41">
        <f t="shared" si="31"/>
        <v>1064</v>
      </c>
      <c r="F24" s="294"/>
      <c r="G24" s="128"/>
      <c r="H24" s="97">
        <v>60</v>
      </c>
      <c r="I24" s="97">
        <v>16</v>
      </c>
      <c r="J24" s="97"/>
      <c r="K24" s="97"/>
      <c r="L24" s="44">
        <f t="shared" si="32"/>
        <v>1386</v>
      </c>
      <c r="M24" s="235">
        <f t="shared" si="33"/>
        <v>1402</v>
      </c>
      <c r="N24" s="45">
        <f>L24/2</f>
        <v>693</v>
      </c>
      <c r="O24" s="98">
        <f>(M8-N24)/M8</f>
        <v>0.48283582089552241</v>
      </c>
      <c r="P24" s="315"/>
    </row>
    <row r="25" spans="1:23" ht="15" thickBot="1" x14ac:dyDescent="0.35">
      <c r="A25" s="210"/>
      <c r="B25" s="96">
        <v>60</v>
      </c>
      <c r="C25" s="97">
        <v>20</v>
      </c>
      <c r="D25" s="97"/>
      <c r="E25" s="233">
        <f t="shared" si="31"/>
        <v>1320</v>
      </c>
      <c r="F25" s="211"/>
      <c r="G25" s="187"/>
      <c r="H25" s="187"/>
      <c r="I25" s="187"/>
      <c r="J25" s="187"/>
      <c r="K25" s="187"/>
      <c r="L25" s="187"/>
      <c r="M25" s="187"/>
      <c r="N25" s="187"/>
      <c r="O25" s="187"/>
      <c r="P25" s="212"/>
    </row>
    <row r="26" spans="1:23" ht="15" thickBot="1" x14ac:dyDescent="0.35">
      <c r="A26" s="186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8"/>
    </row>
  </sheetData>
  <mergeCells count="20">
    <mergeCell ref="A1:P1"/>
    <mergeCell ref="A2:A12"/>
    <mergeCell ref="F2:F12"/>
    <mergeCell ref="B2:E2"/>
    <mergeCell ref="P2:P12"/>
    <mergeCell ref="G10:O10"/>
    <mergeCell ref="B11:D11"/>
    <mergeCell ref="B12:D12"/>
    <mergeCell ref="B10:E10"/>
    <mergeCell ref="V4:V8"/>
    <mergeCell ref="U4:U8"/>
    <mergeCell ref="U12:U16"/>
    <mergeCell ref="V12:V16"/>
    <mergeCell ref="G2:O2"/>
    <mergeCell ref="A17:P17"/>
    <mergeCell ref="G18:O18"/>
    <mergeCell ref="F18:F24"/>
    <mergeCell ref="B18:E18"/>
    <mergeCell ref="A18:A24"/>
    <mergeCell ref="P18:P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2957E-7629-4F98-B25C-9ABF68E50C5F}">
  <dimension ref="A1:AI29"/>
  <sheetViews>
    <sheetView zoomScaleNormal="100" workbookViewId="0">
      <selection activeCell="AF19" sqref="AF19"/>
    </sheetView>
  </sheetViews>
  <sheetFormatPr defaultRowHeight="14.4" x14ac:dyDescent="0.3"/>
  <cols>
    <col min="1" max="1" width="2.77734375" customWidth="1"/>
    <col min="2" max="2" width="11.33203125" customWidth="1"/>
    <col min="3" max="4" width="8.21875" customWidth="1"/>
    <col min="5" max="5" width="11" style="1" bestFit="1" customWidth="1"/>
    <col min="6" max="6" width="2.77734375" customWidth="1"/>
    <col min="7" max="7" width="8" bestFit="1" customWidth="1"/>
    <col min="8" max="8" width="11.44140625" bestFit="1" customWidth="1"/>
    <col min="9" max="10" width="12.44140625" customWidth="1"/>
    <col min="11" max="11" width="14.6640625" customWidth="1"/>
    <col min="12" max="12" width="16.88671875" customWidth="1"/>
    <col min="13" max="13" width="21.5546875" customWidth="1"/>
    <col min="14" max="14" width="18.109375" bestFit="1" customWidth="1"/>
    <col min="15" max="15" width="8.88671875" customWidth="1"/>
    <col min="16" max="16" width="2.77734375" customWidth="1"/>
    <col min="17" max="17" width="3.5546875" hidden="1" customWidth="1"/>
    <col min="18" max="19" width="8.88671875" hidden="1" customWidth="1"/>
    <col min="20" max="20" width="2.88671875" style="36" customWidth="1"/>
    <col min="21" max="21" width="12.6640625" bestFit="1" customWidth="1"/>
    <col min="22" max="22" width="17.77734375" bestFit="1" customWidth="1"/>
    <col min="23" max="23" width="8.21875" customWidth="1"/>
    <col min="24" max="24" width="8.44140625" bestFit="1" customWidth="1"/>
    <col min="25" max="25" width="12.21875" bestFit="1" customWidth="1"/>
    <col min="26" max="27" width="14.6640625" hidden="1" customWidth="1"/>
    <col min="28" max="28" width="13.21875" bestFit="1" customWidth="1"/>
    <col min="29" max="29" width="16.5546875" bestFit="1" customWidth="1"/>
    <col min="30" max="30" width="25" customWidth="1"/>
    <col min="31" max="31" width="2.6640625" style="36" customWidth="1"/>
    <col min="32" max="32" width="8.44140625" bestFit="1" customWidth="1"/>
    <col min="33" max="33" width="9.33203125" bestFit="1" customWidth="1"/>
    <col min="34" max="35" width="7.6640625" bestFit="1" customWidth="1"/>
  </cols>
  <sheetData>
    <row r="1" spans="1:35" ht="18.600000000000001" thickBot="1" x14ac:dyDescent="0.4">
      <c r="A1" s="288" t="s">
        <v>77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90"/>
    </row>
    <row r="2" spans="1:35" s="2" customFormat="1" ht="15" thickBot="1" x14ac:dyDescent="0.35">
      <c r="A2" s="315"/>
      <c r="B2" s="296" t="s">
        <v>13</v>
      </c>
      <c r="C2" s="297"/>
      <c r="D2" s="314"/>
      <c r="E2" s="298"/>
      <c r="F2" s="242"/>
      <c r="G2" s="311" t="s">
        <v>81</v>
      </c>
      <c r="H2" s="312"/>
      <c r="I2" s="312"/>
      <c r="J2" s="312"/>
      <c r="K2" s="312"/>
      <c r="L2" s="312"/>
      <c r="M2" s="312"/>
      <c r="N2" s="312"/>
      <c r="O2" s="313"/>
      <c r="P2" s="315"/>
      <c r="T2" s="36"/>
      <c r="W2" s="216"/>
      <c r="Z2" s="2" t="s">
        <v>76</v>
      </c>
      <c r="AE2" s="36"/>
    </row>
    <row r="3" spans="1:35" s="3" customFormat="1" ht="43.8" thickBot="1" x14ac:dyDescent="0.35">
      <c r="A3" s="315"/>
      <c r="B3" s="57" t="s">
        <v>0</v>
      </c>
      <c r="C3" s="58" t="s">
        <v>6</v>
      </c>
      <c r="D3" s="166" t="s">
        <v>1</v>
      </c>
      <c r="E3" s="59" t="s">
        <v>17</v>
      </c>
      <c r="F3" s="242"/>
      <c r="G3" s="114" t="s">
        <v>5</v>
      </c>
      <c r="H3" s="115" t="s">
        <v>0</v>
      </c>
      <c r="I3" s="115" t="s">
        <v>80</v>
      </c>
      <c r="J3" s="115" t="s">
        <v>79</v>
      </c>
      <c r="K3" s="115" t="s">
        <v>33</v>
      </c>
      <c r="L3" s="116" t="s">
        <v>104</v>
      </c>
      <c r="M3" s="234" t="s">
        <v>105</v>
      </c>
      <c r="N3" s="117" t="s">
        <v>83</v>
      </c>
      <c r="O3" s="118" t="s">
        <v>7</v>
      </c>
      <c r="P3" s="299"/>
      <c r="T3" s="250"/>
      <c r="U3" s="158" t="s">
        <v>60</v>
      </c>
      <c r="V3" s="159" t="s">
        <v>55</v>
      </c>
      <c r="W3" s="160" t="s">
        <v>73</v>
      </c>
      <c r="X3" s="251" t="s">
        <v>74</v>
      </c>
      <c r="Y3" s="251" t="s">
        <v>75</v>
      </c>
      <c r="Z3" s="175" t="s">
        <v>71</v>
      </c>
      <c r="AA3" s="175" t="s">
        <v>72</v>
      </c>
      <c r="AB3" s="175" t="s">
        <v>69</v>
      </c>
      <c r="AC3" s="175" t="s">
        <v>70</v>
      </c>
      <c r="AD3" s="154" t="s">
        <v>57</v>
      </c>
      <c r="AE3" s="250"/>
      <c r="AF3" s="230" t="s">
        <v>96</v>
      </c>
      <c r="AG3" s="230" t="s">
        <v>97</v>
      </c>
      <c r="AH3" s="230" t="s">
        <v>98</v>
      </c>
      <c r="AI3" s="230" t="s">
        <v>99</v>
      </c>
    </row>
    <row r="4" spans="1:35" s="3" customFormat="1" x14ac:dyDescent="0.3">
      <c r="A4" s="315"/>
      <c r="B4" s="49">
        <v>30</v>
      </c>
      <c r="C4" s="50">
        <v>1</v>
      </c>
      <c r="D4" s="169">
        <v>35.5</v>
      </c>
      <c r="E4" s="43">
        <f>C4*D4</f>
        <v>35.5</v>
      </c>
      <c r="F4" s="242"/>
      <c r="G4" s="47">
        <v>1</v>
      </c>
      <c r="H4" s="50">
        <f>B5</f>
        <v>30</v>
      </c>
      <c r="I4" s="50">
        <f>J4/4</f>
        <v>1</v>
      </c>
      <c r="J4" s="50">
        <f>C5</f>
        <v>4</v>
      </c>
      <c r="K4" s="183">
        <f>(H4/60)*J4</f>
        <v>2</v>
      </c>
      <c r="L4" s="44">
        <f>E5</f>
        <v>139</v>
      </c>
      <c r="M4" s="235">
        <f>L4+(J4*O4)</f>
        <v>143</v>
      </c>
      <c r="N4" s="161">
        <f>((M4/K4)*(K4/4))*1.06</f>
        <v>37.895000000000003</v>
      </c>
      <c r="O4" s="163">
        <v>1</v>
      </c>
      <c r="P4" s="299"/>
      <c r="R4" s="68">
        <f>E4/C4</f>
        <v>35.5</v>
      </c>
      <c r="S4" s="68" t="e">
        <f>M4/(J4+((#REF!*15)/60))</f>
        <v>#REF!</v>
      </c>
      <c r="T4" s="254"/>
      <c r="U4" s="331" t="s">
        <v>61</v>
      </c>
      <c r="V4" s="328" t="s">
        <v>58</v>
      </c>
      <c r="W4" s="180">
        <f>J4</f>
        <v>4</v>
      </c>
      <c r="X4" s="244">
        <f>(AB4/4)*1.06</f>
        <v>36.835000000000001</v>
      </c>
      <c r="Y4" s="245">
        <f>(X4*4)/W4</f>
        <v>36.835000000000001</v>
      </c>
      <c r="Z4" s="176">
        <f>(AB4/2)*1.03</f>
        <v>71.585000000000008</v>
      </c>
      <c r="AA4" s="177">
        <f>(Z4*2)/W4</f>
        <v>35.792500000000004</v>
      </c>
      <c r="AB4" s="176">
        <f>L4</f>
        <v>139</v>
      </c>
      <c r="AC4" s="176">
        <f>AB4/W4</f>
        <v>34.75</v>
      </c>
      <c r="AD4" s="155">
        <f>AB4*0.8</f>
        <v>111.2</v>
      </c>
      <c r="AE4" s="250" t="s">
        <v>108</v>
      </c>
      <c r="AF4" s="172">
        <f>AC4*2</f>
        <v>69.5</v>
      </c>
      <c r="AG4" s="172">
        <f>(AF4-66.36)*(W4/2)</f>
        <v>6.2800000000000011</v>
      </c>
      <c r="AH4" s="209">
        <f>(AF4-66.36)/AF4</f>
        <v>4.5179856115107921E-2</v>
      </c>
      <c r="AI4" s="209">
        <f>(AF4-66.36)/66.36</f>
        <v>4.7317661241711884E-2</v>
      </c>
    </row>
    <row r="5" spans="1:35" x14ac:dyDescent="0.3">
      <c r="A5" s="315"/>
      <c r="B5" s="47">
        <v>30</v>
      </c>
      <c r="C5" s="48">
        <v>4</v>
      </c>
      <c r="D5" s="170">
        <v>34.75</v>
      </c>
      <c r="E5" s="43">
        <f t="shared" ref="E5:E8" si="0">C5*D5</f>
        <v>139</v>
      </c>
      <c r="F5" s="242"/>
      <c r="G5" s="47">
        <v>2</v>
      </c>
      <c r="H5" s="50">
        <f t="shared" ref="H5:H7" si="1">B6</f>
        <v>30</v>
      </c>
      <c r="I5" s="50">
        <f>J5/4</f>
        <v>2</v>
      </c>
      <c r="J5" s="50">
        <f>C6</f>
        <v>8</v>
      </c>
      <c r="K5" s="184">
        <f>(H5/60)*J5</f>
        <v>4</v>
      </c>
      <c r="L5" s="44">
        <f t="shared" ref="L5:L7" si="2">E6</f>
        <v>276</v>
      </c>
      <c r="M5" s="235">
        <f t="shared" ref="M5:M8" si="3">L5+(J5*O5)</f>
        <v>284</v>
      </c>
      <c r="N5" s="161">
        <f>((M5/K5)*(K5/4))*1.06</f>
        <v>75.260000000000005</v>
      </c>
      <c r="O5" s="164">
        <v>1</v>
      </c>
      <c r="P5" s="299"/>
      <c r="R5" s="68">
        <f>E5/C5</f>
        <v>34.75</v>
      </c>
      <c r="S5" s="68" t="e">
        <f>M5/(J5+((#REF!*15)/60))</f>
        <v>#REF!</v>
      </c>
      <c r="T5" s="254"/>
      <c r="U5" s="332"/>
      <c r="V5" s="329"/>
      <c r="W5" s="174">
        <f>J5</f>
        <v>8</v>
      </c>
      <c r="X5" s="246">
        <f t="shared" ref="X5:X7" si="4">(AB5/4)*1.06</f>
        <v>73.14</v>
      </c>
      <c r="Y5" s="247">
        <f t="shared" ref="Y5:Y7" si="5">(X5*4)/W5</f>
        <v>36.57</v>
      </c>
      <c r="Z5" s="153">
        <f t="shared" ref="Z5:Z7" si="6">(AB5/2)*1.03</f>
        <v>142.14000000000001</v>
      </c>
      <c r="AA5" s="173">
        <f t="shared" ref="AA5:AA7" si="7">(Z5*2)/W5</f>
        <v>35.535000000000004</v>
      </c>
      <c r="AB5" s="153">
        <f>L5</f>
        <v>276</v>
      </c>
      <c r="AC5" s="153">
        <f t="shared" ref="AC5:AC7" si="8">AB5/W5</f>
        <v>34.5</v>
      </c>
      <c r="AD5" s="156">
        <f>AB5*0.8</f>
        <v>220.8</v>
      </c>
      <c r="AE5" s="250" t="s">
        <v>108</v>
      </c>
      <c r="AF5" s="172">
        <f t="shared" ref="AF5:AF8" si="9">AC5*2</f>
        <v>69</v>
      </c>
      <c r="AG5" s="172">
        <f t="shared" ref="AG5:AG8" si="10">(AF5-66.36)*(W5/2)</f>
        <v>10.560000000000002</v>
      </c>
      <c r="AH5" s="209">
        <f t="shared" ref="AH5:AH8" si="11">(AF5-66.36)/AF5</f>
        <v>3.8260869565217397E-2</v>
      </c>
      <c r="AI5" s="209">
        <f t="shared" ref="AI5:AI8" si="12">(AF5-66.36)/66.36</f>
        <v>3.9783001808318272E-2</v>
      </c>
    </row>
    <row r="6" spans="1:35" x14ac:dyDescent="0.3">
      <c r="A6" s="315"/>
      <c r="B6" s="47">
        <v>30</v>
      </c>
      <c r="C6" s="48">
        <v>8</v>
      </c>
      <c r="D6" s="170">
        <v>34.5</v>
      </c>
      <c r="E6" s="43">
        <f t="shared" si="0"/>
        <v>276</v>
      </c>
      <c r="F6" s="242"/>
      <c r="G6" s="47">
        <v>3</v>
      </c>
      <c r="H6" s="50">
        <f t="shared" si="1"/>
        <v>30</v>
      </c>
      <c r="I6" s="50">
        <f>J6/4</f>
        <v>3</v>
      </c>
      <c r="J6" s="50">
        <f>C7</f>
        <v>12</v>
      </c>
      <c r="K6" s="184">
        <f>(H6/60)*J6</f>
        <v>6</v>
      </c>
      <c r="L6" s="44">
        <f t="shared" si="2"/>
        <v>408</v>
      </c>
      <c r="M6" s="235">
        <f t="shared" si="3"/>
        <v>420</v>
      </c>
      <c r="N6" s="161">
        <f>((M6/K6)*(K6/4))*1.06</f>
        <v>111.30000000000001</v>
      </c>
      <c r="O6" s="164">
        <v>1</v>
      </c>
      <c r="P6" s="299"/>
      <c r="R6" s="68">
        <f>E6/C6</f>
        <v>34.5</v>
      </c>
      <c r="S6" s="68" t="e">
        <f>M6/(J6+((#REF!*15)/60))</f>
        <v>#REF!</v>
      </c>
      <c r="T6" s="254"/>
      <c r="U6" s="332"/>
      <c r="V6" s="329"/>
      <c r="W6" s="174">
        <f>J6</f>
        <v>12</v>
      </c>
      <c r="X6" s="246">
        <f t="shared" si="4"/>
        <v>108.12</v>
      </c>
      <c r="Y6" s="247">
        <f t="shared" si="5"/>
        <v>36.04</v>
      </c>
      <c r="Z6" s="153">
        <f t="shared" si="6"/>
        <v>210.12</v>
      </c>
      <c r="AA6" s="173">
        <f t="shared" si="7"/>
        <v>35.020000000000003</v>
      </c>
      <c r="AB6" s="153">
        <f>L6</f>
        <v>408</v>
      </c>
      <c r="AC6" s="153">
        <f t="shared" si="8"/>
        <v>34</v>
      </c>
      <c r="AD6" s="156">
        <f>AB6*0.8</f>
        <v>326.40000000000003</v>
      </c>
      <c r="AE6" s="250" t="s">
        <v>108</v>
      </c>
      <c r="AF6" s="172">
        <f t="shared" si="9"/>
        <v>68</v>
      </c>
      <c r="AG6" s="172">
        <f t="shared" si="10"/>
        <v>9.8400000000000034</v>
      </c>
      <c r="AH6" s="209">
        <f t="shared" si="11"/>
        <v>2.4117647058823539E-2</v>
      </c>
      <c r="AI6" s="209">
        <f t="shared" si="12"/>
        <v>2.4713682941531052E-2</v>
      </c>
    </row>
    <row r="7" spans="1:35" x14ac:dyDescent="0.3">
      <c r="A7" s="315"/>
      <c r="B7" s="258">
        <v>30</v>
      </c>
      <c r="C7" s="259">
        <v>12</v>
      </c>
      <c r="D7" s="260">
        <v>34</v>
      </c>
      <c r="E7" s="43">
        <f t="shared" si="0"/>
        <v>408</v>
      </c>
      <c r="F7" s="242"/>
      <c r="G7" s="47">
        <v>4</v>
      </c>
      <c r="H7" s="48">
        <f t="shared" si="1"/>
        <v>30</v>
      </c>
      <c r="I7" s="48">
        <f>J7/4</f>
        <v>4</v>
      </c>
      <c r="J7" s="48">
        <f>C8</f>
        <v>16</v>
      </c>
      <c r="K7" s="184">
        <f>(H7/60)*J7</f>
        <v>8</v>
      </c>
      <c r="L7" s="44">
        <f t="shared" si="2"/>
        <v>548</v>
      </c>
      <c r="M7" s="235">
        <f t="shared" si="3"/>
        <v>564</v>
      </c>
      <c r="N7" s="224">
        <f>((M7/K7)*(K7/4))*1.06</f>
        <v>149.46</v>
      </c>
      <c r="O7" s="164">
        <v>1</v>
      </c>
      <c r="P7" s="299"/>
      <c r="R7" s="68">
        <f>E7/C7</f>
        <v>34</v>
      </c>
      <c r="S7" s="68" t="e">
        <f>M7/(J7+((#REF!*15)/60))</f>
        <v>#REF!</v>
      </c>
      <c r="T7" s="254"/>
      <c r="U7" s="332"/>
      <c r="V7" s="329"/>
      <c r="W7" s="174">
        <f>J7</f>
        <v>16</v>
      </c>
      <c r="X7" s="246">
        <f t="shared" si="4"/>
        <v>145.22</v>
      </c>
      <c r="Y7" s="247">
        <f t="shared" si="5"/>
        <v>36.305</v>
      </c>
      <c r="Z7" s="153">
        <f t="shared" si="6"/>
        <v>282.22000000000003</v>
      </c>
      <c r="AA7" s="173">
        <f t="shared" si="7"/>
        <v>35.277500000000003</v>
      </c>
      <c r="AB7" s="153">
        <f>L7</f>
        <v>548</v>
      </c>
      <c r="AC7" s="153">
        <f t="shared" si="8"/>
        <v>34.25</v>
      </c>
      <c r="AD7" s="156">
        <f>AB7*0.8</f>
        <v>438.40000000000003</v>
      </c>
      <c r="AE7" s="250" t="s">
        <v>108</v>
      </c>
      <c r="AF7" s="172">
        <f t="shared" si="9"/>
        <v>68.5</v>
      </c>
      <c r="AG7" s="172">
        <f t="shared" si="10"/>
        <v>17.120000000000005</v>
      </c>
      <c r="AH7" s="209">
        <f t="shared" si="11"/>
        <v>3.1240875912408768E-2</v>
      </c>
      <c r="AI7" s="209">
        <f t="shared" si="12"/>
        <v>3.224834237492466E-2</v>
      </c>
    </row>
    <row r="8" spans="1:35" ht="15" thickBot="1" x14ac:dyDescent="0.35">
      <c r="A8" s="315"/>
      <c r="B8" s="47">
        <v>30</v>
      </c>
      <c r="C8" s="48">
        <v>16</v>
      </c>
      <c r="D8" s="171">
        <v>34.25</v>
      </c>
      <c r="E8" s="43">
        <f t="shared" si="0"/>
        <v>548</v>
      </c>
      <c r="F8" s="242"/>
      <c r="G8" s="96">
        <v>5</v>
      </c>
      <c r="H8" s="97">
        <f>B9</f>
        <v>30</v>
      </c>
      <c r="I8" s="97">
        <f>J8/4</f>
        <v>5</v>
      </c>
      <c r="J8" s="97">
        <f>C9</f>
        <v>20</v>
      </c>
      <c r="K8" s="185">
        <f>(H8/60)*J8</f>
        <v>10</v>
      </c>
      <c r="L8" s="44">
        <f>E9</f>
        <v>680</v>
      </c>
      <c r="M8" s="235">
        <f t="shared" si="3"/>
        <v>700</v>
      </c>
      <c r="N8" s="190">
        <f>((M8/K8)*(K8/4))*1.06</f>
        <v>185.5</v>
      </c>
      <c r="O8" s="165">
        <v>1</v>
      </c>
      <c r="P8" s="315"/>
      <c r="R8" s="68"/>
      <c r="U8" s="333"/>
      <c r="V8" s="330"/>
      <c r="W8" s="226">
        <f>J8</f>
        <v>20</v>
      </c>
      <c r="X8" s="252">
        <f t="shared" ref="X8" si="13">(AB8/4)*1.06</f>
        <v>180.20000000000002</v>
      </c>
      <c r="Y8" s="253">
        <f t="shared" ref="Y8" si="14">(X8*4)/W8</f>
        <v>36.040000000000006</v>
      </c>
      <c r="Z8" s="227">
        <f t="shared" ref="Z8" si="15">(AB8/2)*1.03</f>
        <v>350.2</v>
      </c>
      <c r="AA8" s="228">
        <f t="shared" ref="AA8" si="16">(Z8*2)/W8</f>
        <v>35.019999999999996</v>
      </c>
      <c r="AB8" s="227">
        <f>L8</f>
        <v>680</v>
      </c>
      <c r="AC8" s="227">
        <f t="shared" ref="AC8" si="17">AB8/W8</f>
        <v>34</v>
      </c>
      <c r="AD8" s="229">
        <f>AB8*0.8</f>
        <v>544</v>
      </c>
      <c r="AE8" s="250" t="s">
        <v>108</v>
      </c>
      <c r="AF8" s="172">
        <f t="shared" si="9"/>
        <v>68</v>
      </c>
      <c r="AG8" s="172">
        <f t="shared" si="10"/>
        <v>16.400000000000006</v>
      </c>
      <c r="AH8" s="209">
        <f t="shared" si="11"/>
        <v>2.4117647058823539E-2</v>
      </c>
      <c r="AI8" s="209">
        <f t="shared" si="12"/>
        <v>2.4713682941531052E-2</v>
      </c>
    </row>
    <row r="9" spans="1:35" ht="15" thickBot="1" x14ac:dyDescent="0.35">
      <c r="A9" s="315"/>
      <c r="B9" s="96">
        <v>30</v>
      </c>
      <c r="C9" s="97">
        <v>20</v>
      </c>
      <c r="D9" s="261">
        <v>34</v>
      </c>
      <c r="E9" s="233">
        <f t="shared" ref="E9" si="18">C9*D9</f>
        <v>680</v>
      </c>
      <c r="F9" s="242"/>
      <c r="G9" s="132"/>
      <c r="H9" s="132"/>
      <c r="I9" s="132"/>
      <c r="J9" s="132"/>
      <c r="K9" s="132"/>
      <c r="L9" s="132"/>
      <c r="M9" s="132"/>
      <c r="N9" s="132"/>
      <c r="O9" s="132"/>
      <c r="P9" s="315"/>
      <c r="R9" s="68"/>
      <c r="AF9" s="172"/>
      <c r="AG9" s="172"/>
      <c r="AH9" s="209"/>
      <c r="AI9" s="209"/>
    </row>
    <row r="10" spans="1:35" ht="29.4" thickBot="1" x14ac:dyDescent="0.35">
      <c r="A10" s="315"/>
      <c r="B10" s="242"/>
      <c r="C10" s="242"/>
      <c r="D10" s="242"/>
      <c r="E10" s="242"/>
      <c r="F10" s="242"/>
      <c r="G10" s="132"/>
      <c r="H10" s="132"/>
      <c r="I10" s="132"/>
      <c r="J10" s="132"/>
      <c r="K10" s="132"/>
      <c r="L10" s="132"/>
      <c r="M10" s="132"/>
      <c r="N10" s="132"/>
      <c r="O10" s="132"/>
      <c r="P10" s="315"/>
      <c r="R10" s="68"/>
      <c r="U10" s="218" t="s">
        <v>60</v>
      </c>
      <c r="V10" s="219" t="s">
        <v>55</v>
      </c>
      <c r="W10" s="220" t="s">
        <v>62</v>
      </c>
      <c r="X10" s="243" t="s">
        <v>74</v>
      </c>
      <c r="Y10" s="243" t="s">
        <v>75</v>
      </c>
      <c r="Z10" s="221" t="s">
        <v>71</v>
      </c>
      <c r="AA10" s="221" t="s">
        <v>72</v>
      </c>
      <c r="AB10" s="221" t="s">
        <v>69</v>
      </c>
      <c r="AC10" s="221" t="s">
        <v>70</v>
      </c>
      <c r="AD10" s="222" t="s">
        <v>57</v>
      </c>
      <c r="AE10" s="250"/>
      <c r="AF10" s="230" t="s">
        <v>96</v>
      </c>
      <c r="AG10" s="230" t="s">
        <v>97</v>
      </c>
      <c r="AH10" s="230" t="s">
        <v>98</v>
      </c>
      <c r="AI10" s="230" t="s">
        <v>99</v>
      </c>
    </row>
    <row r="11" spans="1:35" x14ac:dyDescent="0.3">
      <c r="A11" s="315"/>
      <c r="B11" s="242"/>
      <c r="C11" s="242"/>
      <c r="D11" s="242"/>
      <c r="E11" s="242"/>
      <c r="F11" s="242"/>
      <c r="G11" s="132"/>
      <c r="H11" s="132"/>
      <c r="I11" s="132"/>
      <c r="J11" s="132"/>
      <c r="K11" s="132"/>
      <c r="L11" s="132"/>
      <c r="M11" s="132"/>
      <c r="N11" s="132"/>
      <c r="O11" s="132"/>
      <c r="P11" s="315"/>
      <c r="R11" s="68"/>
      <c r="U11" s="319" t="s">
        <v>100</v>
      </c>
      <c r="V11" s="316" t="s">
        <v>58</v>
      </c>
      <c r="W11" s="180">
        <f>J4</f>
        <v>4</v>
      </c>
      <c r="X11" s="244">
        <f>(AB11/4)*1.06</f>
        <v>37.895000000000003</v>
      </c>
      <c r="Y11" s="245">
        <f>(X11*4)/W11</f>
        <v>37.895000000000003</v>
      </c>
      <c r="Z11" s="176">
        <f>(AB11/2)*1.03</f>
        <v>73.644999999999996</v>
      </c>
      <c r="AA11" s="177">
        <f>(Z11*2)/W11</f>
        <v>36.822499999999998</v>
      </c>
      <c r="AB11" s="240">
        <f>AC11*W11</f>
        <v>143</v>
      </c>
      <c r="AC11" s="177">
        <f>AC4+1</f>
        <v>35.75</v>
      </c>
      <c r="AD11" s="241">
        <f>AB11*0.8</f>
        <v>114.4</v>
      </c>
      <c r="AE11" s="250" t="s">
        <v>108</v>
      </c>
      <c r="AF11" s="172">
        <f>AC11*2</f>
        <v>71.5</v>
      </c>
      <c r="AG11" s="172">
        <f>(AF11-66.36)*W11</f>
        <v>20.560000000000002</v>
      </c>
      <c r="AH11" s="209">
        <f>(AF11-66.36)/AF11</f>
        <v>7.1888111888111894E-2</v>
      </c>
      <c r="AI11" s="209">
        <f>(AF11-66.36)/66.36</f>
        <v>7.7456298975286331E-2</v>
      </c>
    </row>
    <row r="12" spans="1:35" x14ac:dyDescent="0.3">
      <c r="A12" s="315"/>
      <c r="B12" s="242"/>
      <c r="C12" s="242"/>
      <c r="D12" s="242"/>
      <c r="E12" s="242"/>
      <c r="F12" s="242"/>
      <c r="G12" s="132"/>
      <c r="H12" s="132"/>
      <c r="I12" s="132"/>
      <c r="J12" s="132"/>
      <c r="K12" s="132"/>
      <c r="L12" s="132"/>
      <c r="M12" s="132"/>
      <c r="N12" s="132"/>
      <c r="O12" s="132"/>
      <c r="P12" s="315"/>
      <c r="R12" s="68"/>
      <c r="U12" s="320"/>
      <c r="V12" s="317"/>
      <c r="W12" s="174">
        <f>J5</f>
        <v>8</v>
      </c>
      <c r="X12" s="246">
        <f t="shared" ref="X12:X15" si="19">(AB12/4)*1.06</f>
        <v>75.260000000000005</v>
      </c>
      <c r="Y12" s="247">
        <f t="shared" ref="Y12:Y15" si="20">(X12*4)/W12</f>
        <v>37.630000000000003</v>
      </c>
      <c r="Z12" s="153">
        <f t="shared" ref="Z12:Z15" si="21">(AB12/2)*1.03</f>
        <v>146.26</v>
      </c>
      <c r="AA12" s="173">
        <f t="shared" ref="AA12:AA15" si="22">(Z12*2)/W12</f>
        <v>36.564999999999998</v>
      </c>
      <c r="AB12" s="153">
        <f>AC12*W12</f>
        <v>284</v>
      </c>
      <c r="AC12" s="173">
        <f t="shared" ref="AC12:AC15" si="23">AC5+1</f>
        <v>35.5</v>
      </c>
      <c r="AD12" s="156">
        <f t="shared" ref="AD12:AD15" si="24">AB12*0.8</f>
        <v>227.20000000000002</v>
      </c>
      <c r="AE12" s="250" t="s">
        <v>108</v>
      </c>
      <c r="AF12" s="172">
        <f t="shared" ref="AF12:AF15" si="25">AC12*2</f>
        <v>71</v>
      </c>
      <c r="AG12" s="172">
        <f t="shared" ref="AG12:AG15" si="26">(AF12-66.36)*W12</f>
        <v>37.120000000000005</v>
      </c>
      <c r="AH12" s="209">
        <f t="shared" ref="AH12:AH15" si="27">(AF12-66.36)/AF12</f>
        <v>6.535211267605634E-2</v>
      </c>
      <c r="AI12" s="209">
        <f t="shared" ref="AI12:AI15" si="28">(AF12-66.36)/66.36</f>
        <v>6.9921639541892719E-2</v>
      </c>
    </row>
    <row r="13" spans="1:35" x14ac:dyDescent="0.3">
      <c r="A13" s="315"/>
      <c r="B13" s="242"/>
      <c r="C13" s="242"/>
      <c r="D13" s="242"/>
      <c r="E13" s="242"/>
      <c r="F13" s="242"/>
      <c r="G13" s="132"/>
      <c r="H13" s="132"/>
      <c r="I13" s="132"/>
      <c r="J13" s="132"/>
      <c r="K13" s="132"/>
      <c r="L13" s="132"/>
      <c r="M13" s="132"/>
      <c r="N13" s="132"/>
      <c r="O13" s="132"/>
      <c r="P13" s="315"/>
      <c r="R13" s="68"/>
      <c r="U13" s="320"/>
      <c r="V13" s="317"/>
      <c r="W13" s="174">
        <f>J6</f>
        <v>12</v>
      </c>
      <c r="X13" s="246">
        <f t="shared" si="19"/>
        <v>111.30000000000001</v>
      </c>
      <c r="Y13" s="247">
        <f t="shared" si="20"/>
        <v>37.1</v>
      </c>
      <c r="Z13" s="153">
        <f t="shared" si="21"/>
        <v>216.3</v>
      </c>
      <c r="AA13" s="173">
        <f t="shared" si="22"/>
        <v>36.050000000000004</v>
      </c>
      <c r="AB13" s="153">
        <f t="shared" ref="AB13:AB15" si="29">AC13*W13</f>
        <v>420</v>
      </c>
      <c r="AC13" s="173">
        <f t="shared" si="23"/>
        <v>35</v>
      </c>
      <c r="AD13" s="156">
        <f t="shared" si="24"/>
        <v>336</v>
      </c>
      <c r="AE13" s="250" t="s">
        <v>108</v>
      </c>
      <c r="AF13" s="172">
        <f t="shared" si="25"/>
        <v>70</v>
      </c>
      <c r="AG13" s="172">
        <f t="shared" si="26"/>
        <v>43.680000000000007</v>
      </c>
      <c r="AH13" s="209">
        <f t="shared" si="27"/>
        <v>5.2000000000000011E-2</v>
      </c>
      <c r="AI13" s="209">
        <f t="shared" si="28"/>
        <v>5.4852320675105495E-2</v>
      </c>
    </row>
    <row r="14" spans="1:35" ht="15" thickBot="1" x14ac:dyDescent="0.35">
      <c r="A14" s="315"/>
      <c r="B14" s="242"/>
      <c r="C14" s="242"/>
      <c r="D14" s="242"/>
      <c r="E14" s="242"/>
      <c r="F14" s="242"/>
      <c r="G14" s="132"/>
      <c r="H14" s="132"/>
      <c r="I14" s="132"/>
      <c r="J14" s="132"/>
      <c r="K14" s="132"/>
      <c r="L14" s="132"/>
      <c r="M14" s="132"/>
      <c r="N14" s="132"/>
      <c r="O14" s="132"/>
      <c r="P14" s="315"/>
      <c r="R14" s="68"/>
      <c r="U14" s="320"/>
      <c r="V14" s="317"/>
      <c r="W14" s="174">
        <f>J7</f>
        <v>16</v>
      </c>
      <c r="X14" s="246">
        <f t="shared" si="19"/>
        <v>149.46</v>
      </c>
      <c r="Y14" s="247">
        <f t="shared" si="20"/>
        <v>37.365000000000002</v>
      </c>
      <c r="Z14" s="153">
        <f t="shared" si="21"/>
        <v>290.45999999999998</v>
      </c>
      <c r="AA14" s="173">
        <f t="shared" si="22"/>
        <v>36.307499999999997</v>
      </c>
      <c r="AB14" s="153">
        <f t="shared" si="29"/>
        <v>564</v>
      </c>
      <c r="AC14" s="173">
        <f t="shared" si="23"/>
        <v>35.25</v>
      </c>
      <c r="AD14" s="156">
        <f t="shared" si="24"/>
        <v>451.20000000000005</v>
      </c>
      <c r="AE14" s="250" t="s">
        <v>108</v>
      </c>
      <c r="AF14" s="172">
        <f t="shared" si="25"/>
        <v>70.5</v>
      </c>
      <c r="AG14" s="172">
        <f t="shared" si="26"/>
        <v>66.240000000000009</v>
      </c>
      <c r="AH14" s="209">
        <f t="shared" si="27"/>
        <v>5.8723404255319155E-2</v>
      </c>
      <c r="AI14" s="209">
        <f t="shared" si="28"/>
        <v>6.2386980108499107E-2</v>
      </c>
    </row>
    <row r="15" spans="1:35" ht="18.600000000000001" thickBot="1" x14ac:dyDescent="0.4">
      <c r="A15" s="288" t="s">
        <v>78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90"/>
      <c r="U15" s="321"/>
      <c r="V15" s="318"/>
      <c r="W15" s="226">
        <f>J8</f>
        <v>20</v>
      </c>
      <c r="X15" s="248">
        <f t="shared" si="19"/>
        <v>185.5</v>
      </c>
      <c r="Y15" s="249">
        <f t="shared" si="20"/>
        <v>37.1</v>
      </c>
      <c r="Z15" s="178">
        <f t="shared" si="21"/>
        <v>360.5</v>
      </c>
      <c r="AA15" s="179">
        <f t="shared" si="22"/>
        <v>36.049999999999997</v>
      </c>
      <c r="AB15" s="178">
        <f t="shared" si="29"/>
        <v>700</v>
      </c>
      <c r="AC15" s="228">
        <f t="shared" si="23"/>
        <v>35</v>
      </c>
      <c r="AD15" s="157">
        <f t="shared" si="24"/>
        <v>560</v>
      </c>
      <c r="AE15" s="250" t="s">
        <v>108</v>
      </c>
      <c r="AF15" s="172">
        <f t="shared" si="25"/>
        <v>70</v>
      </c>
      <c r="AG15" s="172">
        <f t="shared" si="26"/>
        <v>72.800000000000011</v>
      </c>
      <c r="AH15" s="209">
        <f t="shared" si="27"/>
        <v>5.2000000000000011E-2</v>
      </c>
      <c r="AI15" s="209">
        <f t="shared" si="28"/>
        <v>5.4852320675105495E-2</v>
      </c>
    </row>
    <row r="16" spans="1:35" ht="15" thickBot="1" x14ac:dyDescent="0.35">
      <c r="A16" s="291"/>
      <c r="B16" s="296" t="s">
        <v>16</v>
      </c>
      <c r="C16" s="297"/>
      <c r="D16" s="314"/>
      <c r="E16" s="298"/>
      <c r="F16" s="294"/>
      <c r="G16" s="311" t="s">
        <v>82</v>
      </c>
      <c r="H16" s="312"/>
      <c r="I16" s="312"/>
      <c r="J16" s="312"/>
      <c r="K16" s="312"/>
      <c r="L16" s="312"/>
      <c r="M16" s="312"/>
      <c r="N16" s="312"/>
      <c r="O16" s="313"/>
      <c r="P16" s="315"/>
      <c r="U16" s="2"/>
      <c r="V16" s="2"/>
      <c r="W16" s="216"/>
      <c r="X16" s="2"/>
      <c r="Y16" s="2"/>
      <c r="Z16" s="2" t="s">
        <v>76</v>
      </c>
      <c r="AA16" s="2"/>
      <c r="AB16" s="2"/>
      <c r="AC16" s="2"/>
      <c r="AD16" s="2"/>
    </row>
    <row r="17" spans="1:35" ht="43.8" thickBot="1" x14ac:dyDescent="0.35">
      <c r="A17" s="291"/>
      <c r="B17" s="54" t="s">
        <v>0</v>
      </c>
      <c r="C17" s="55" t="s">
        <v>6</v>
      </c>
      <c r="D17" s="168"/>
      <c r="E17" s="56" t="s">
        <v>17</v>
      </c>
      <c r="F17" s="294"/>
      <c r="G17" s="114" t="s">
        <v>5</v>
      </c>
      <c r="H17" s="115" t="s">
        <v>0</v>
      </c>
      <c r="I17" s="115" t="s">
        <v>80</v>
      </c>
      <c r="J17" s="115" t="s">
        <v>79</v>
      </c>
      <c r="K17" s="115" t="s">
        <v>33</v>
      </c>
      <c r="L17" s="116" t="s">
        <v>104</v>
      </c>
      <c r="M17" s="234" t="s">
        <v>105</v>
      </c>
      <c r="N17" s="117" t="s">
        <v>83</v>
      </c>
      <c r="O17" s="118" t="s">
        <v>7</v>
      </c>
      <c r="P17" s="299"/>
      <c r="U17" s="158" t="s">
        <v>60</v>
      </c>
      <c r="V17" s="159" t="s">
        <v>55</v>
      </c>
      <c r="W17" s="160" t="s">
        <v>73</v>
      </c>
      <c r="X17" s="251" t="s">
        <v>74</v>
      </c>
      <c r="Y17" s="251" t="s">
        <v>75</v>
      </c>
      <c r="Z17" s="175" t="s">
        <v>71</v>
      </c>
      <c r="AA17" s="175" t="s">
        <v>72</v>
      </c>
      <c r="AB17" s="175" t="s">
        <v>69</v>
      </c>
      <c r="AC17" s="175" t="s">
        <v>70</v>
      </c>
      <c r="AD17" s="154" t="s">
        <v>57</v>
      </c>
      <c r="AF17" s="230" t="s">
        <v>96</v>
      </c>
      <c r="AG17" s="230" t="s">
        <v>97</v>
      </c>
      <c r="AH17" s="230" t="s">
        <v>98</v>
      </c>
      <c r="AI17" s="230" t="s">
        <v>99</v>
      </c>
    </row>
    <row r="18" spans="1:35" x14ac:dyDescent="0.3">
      <c r="A18" s="291"/>
      <c r="B18" s="49">
        <v>45</v>
      </c>
      <c r="C18" s="50">
        <v>1</v>
      </c>
      <c r="D18" s="169">
        <v>53</v>
      </c>
      <c r="E18" s="43">
        <f>D18*C18</f>
        <v>53</v>
      </c>
      <c r="F18" s="294"/>
      <c r="G18" s="49"/>
      <c r="H18" s="50">
        <f>B19</f>
        <v>45</v>
      </c>
      <c r="I18" s="50">
        <f>J18/4</f>
        <v>1</v>
      </c>
      <c r="J18" s="50">
        <f>C19</f>
        <v>4</v>
      </c>
      <c r="K18" s="183">
        <f>(H18/60)*J18</f>
        <v>3</v>
      </c>
      <c r="L18" s="44">
        <f>E19</f>
        <v>210</v>
      </c>
      <c r="M18" s="235">
        <f t="shared" ref="M18:M22" si="30">L18+(J18*O18)</f>
        <v>214</v>
      </c>
      <c r="N18" s="161">
        <f>((M18/K18)*(K18/4))*1.06</f>
        <v>56.71</v>
      </c>
      <c r="O18" s="163">
        <v>1</v>
      </c>
      <c r="P18" s="299"/>
      <c r="U18" s="331" t="s">
        <v>61</v>
      </c>
      <c r="V18" s="328" t="s">
        <v>58</v>
      </c>
      <c r="W18" s="180">
        <f>J18</f>
        <v>4</v>
      </c>
      <c r="X18" s="244">
        <f>(AB18/4)*1.06</f>
        <v>55.650000000000006</v>
      </c>
      <c r="Y18" s="245">
        <f>(X18*4)/W18</f>
        <v>55.650000000000006</v>
      </c>
      <c r="Z18" s="176">
        <f>(AB18/2)*1.03</f>
        <v>108.15</v>
      </c>
      <c r="AA18" s="177">
        <f>(Z18*2)/W18</f>
        <v>54.075000000000003</v>
      </c>
      <c r="AB18" s="176">
        <f>L18</f>
        <v>210</v>
      </c>
      <c r="AC18" s="176">
        <f>AB18/W18</f>
        <v>52.5</v>
      </c>
      <c r="AD18" s="155">
        <f>AB18*0.8</f>
        <v>168</v>
      </c>
      <c r="AE18" s="36" t="s">
        <v>108</v>
      </c>
      <c r="AF18" s="172">
        <f>(AC18/3)*4</f>
        <v>70</v>
      </c>
      <c r="AG18" s="172">
        <f>(AF18-66.36)*((W18/4)*3)</f>
        <v>10.920000000000002</v>
      </c>
      <c r="AH18" s="209">
        <f>(AF18-66.36)/AF18</f>
        <v>5.2000000000000011E-2</v>
      </c>
      <c r="AI18" s="209">
        <f>(AF18-66.36)/66.36</f>
        <v>5.4852320675105495E-2</v>
      </c>
    </row>
    <row r="19" spans="1:35" x14ac:dyDescent="0.3">
      <c r="A19" s="291"/>
      <c r="B19" s="47">
        <v>45</v>
      </c>
      <c r="C19" s="48">
        <v>4</v>
      </c>
      <c r="D19" s="169">
        <v>52.5</v>
      </c>
      <c r="E19" s="43">
        <f t="shared" ref="E19:E22" si="31">D19*C19</f>
        <v>210</v>
      </c>
      <c r="F19" s="294"/>
      <c r="G19" s="47"/>
      <c r="H19" s="50">
        <f t="shared" ref="H19:H21" si="32">B20</f>
        <v>45</v>
      </c>
      <c r="I19" s="50">
        <f>J19/4</f>
        <v>2</v>
      </c>
      <c r="J19" s="50">
        <f>C20</f>
        <v>8</v>
      </c>
      <c r="K19" s="183">
        <f>(H19/60)*J19</f>
        <v>6</v>
      </c>
      <c r="L19" s="44">
        <f t="shared" ref="L19:L22" si="33">E20</f>
        <v>416</v>
      </c>
      <c r="M19" s="235">
        <f t="shared" si="30"/>
        <v>424</v>
      </c>
      <c r="N19" s="161">
        <f>((M19/K19)*(K19/4))*1.06</f>
        <v>112.36</v>
      </c>
      <c r="O19" s="164">
        <v>1</v>
      </c>
      <c r="P19" s="299"/>
      <c r="U19" s="332"/>
      <c r="V19" s="329"/>
      <c r="W19" s="174">
        <f>J19</f>
        <v>8</v>
      </c>
      <c r="X19" s="246">
        <f t="shared" ref="X19:X21" si="34">(AB19/4)*1.06</f>
        <v>110.24000000000001</v>
      </c>
      <c r="Y19" s="247">
        <f t="shared" ref="Y19:Y21" si="35">(X19*4)/W19</f>
        <v>55.120000000000005</v>
      </c>
      <c r="Z19" s="153">
        <f t="shared" ref="Z19:Z21" si="36">(AB19/2)*1.03</f>
        <v>214.24</v>
      </c>
      <c r="AA19" s="173">
        <f t="shared" ref="AA19:AA21" si="37">(Z19*2)/W19</f>
        <v>53.56</v>
      </c>
      <c r="AB19" s="153">
        <f>L19</f>
        <v>416</v>
      </c>
      <c r="AC19" s="153">
        <f t="shared" ref="AC19:AC21" si="38">AB19/W19</f>
        <v>52</v>
      </c>
      <c r="AD19" s="156">
        <f>AB19*0.8</f>
        <v>332.8</v>
      </c>
      <c r="AE19" s="36" t="s">
        <v>108</v>
      </c>
      <c r="AF19" s="172">
        <f t="shared" ref="AF19:AF22" si="39">(AC19/3)*4</f>
        <v>69.333333333333329</v>
      </c>
      <c r="AG19" s="172">
        <f t="shared" ref="AG19:AG22" si="40">(AF19-66.36)*((W19/4)*3)</f>
        <v>17.839999999999975</v>
      </c>
      <c r="AH19" s="209">
        <f t="shared" ref="AH19:AH22" si="41">(AF19-66.36)/AF19</f>
        <v>4.2884615384615327E-2</v>
      </c>
      <c r="AI19" s="209">
        <f t="shared" ref="AI19:AI22" si="42">(AF19-66.36)/66.36</f>
        <v>4.4806108097247277E-2</v>
      </c>
    </row>
    <row r="20" spans="1:35" x14ac:dyDescent="0.3">
      <c r="A20" s="291"/>
      <c r="B20" s="47">
        <v>45</v>
      </c>
      <c r="C20" s="48">
        <v>8</v>
      </c>
      <c r="D20" s="169">
        <v>52</v>
      </c>
      <c r="E20" s="43">
        <f t="shared" si="31"/>
        <v>416</v>
      </c>
      <c r="F20" s="294"/>
      <c r="G20" s="113"/>
      <c r="H20" s="50">
        <f t="shared" si="32"/>
        <v>45</v>
      </c>
      <c r="I20" s="50">
        <f>J20/4</f>
        <v>3</v>
      </c>
      <c r="J20" s="50">
        <f>C21</f>
        <v>12</v>
      </c>
      <c r="K20" s="183">
        <f>(H20/60)*J20</f>
        <v>9</v>
      </c>
      <c r="L20" s="44">
        <f t="shared" si="33"/>
        <v>612</v>
      </c>
      <c r="M20" s="235">
        <f t="shared" si="30"/>
        <v>624</v>
      </c>
      <c r="N20" s="161">
        <f>((M20/K20)*(K20/4))*1.06</f>
        <v>165.36</v>
      </c>
      <c r="O20" s="164">
        <v>1</v>
      </c>
      <c r="P20" s="299"/>
      <c r="U20" s="332"/>
      <c r="V20" s="329"/>
      <c r="W20" s="174">
        <f>J20</f>
        <v>12</v>
      </c>
      <c r="X20" s="246">
        <f t="shared" si="34"/>
        <v>162.18</v>
      </c>
      <c r="Y20" s="247">
        <f t="shared" si="35"/>
        <v>54.06</v>
      </c>
      <c r="Z20" s="153">
        <f t="shared" si="36"/>
        <v>315.18</v>
      </c>
      <c r="AA20" s="173">
        <f t="shared" si="37"/>
        <v>52.53</v>
      </c>
      <c r="AB20" s="153">
        <f>L20</f>
        <v>612</v>
      </c>
      <c r="AC20" s="153">
        <f t="shared" si="38"/>
        <v>51</v>
      </c>
      <c r="AD20" s="156">
        <f>AB20*0.8</f>
        <v>489.6</v>
      </c>
      <c r="AE20" s="36" t="s">
        <v>108</v>
      </c>
      <c r="AF20" s="172">
        <f t="shared" si="39"/>
        <v>68</v>
      </c>
      <c r="AG20" s="172">
        <f t="shared" si="40"/>
        <v>14.760000000000005</v>
      </c>
      <c r="AH20" s="209">
        <f t="shared" si="41"/>
        <v>2.4117647058823539E-2</v>
      </c>
      <c r="AI20" s="209">
        <f t="shared" si="42"/>
        <v>2.4713682941531052E-2</v>
      </c>
    </row>
    <row r="21" spans="1:35" x14ac:dyDescent="0.3">
      <c r="A21" s="291"/>
      <c r="B21" s="258">
        <v>45</v>
      </c>
      <c r="C21" s="259">
        <v>12</v>
      </c>
      <c r="D21" s="262">
        <v>51</v>
      </c>
      <c r="E21" s="43">
        <f t="shared" si="31"/>
        <v>612</v>
      </c>
      <c r="F21" s="294"/>
      <c r="G21" s="225"/>
      <c r="H21" s="48">
        <f t="shared" si="32"/>
        <v>45</v>
      </c>
      <c r="I21" s="48">
        <f>J21/4</f>
        <v>4</v>
      </c>
      <c r="J21" s="48">
        <f>C22</f>
        <v>16</v>
      </c>
      <c r="K21" s="184">
        <f>(H21/60)*J21</f>
        <v>12</v>
      </c>
      <c r="L21" s="44">
        <f t="shared" si="33"/>
        <v>824</v>
      </c>
      <c r="M21" s="235">
        <f t="shared" si="30"/>
        <v>840</v>
      </c>
      <c r="N21" s="224">
        <f>((M21/K21)*(K21/4))*1.06</f>
        <v>222.60000000000002</v>
      </c>
      <c r="O21" s="164">
        <v>1</v>
      </c>
      <c r="P21" s="299"/>
      <c r="U21" s="332"/>
      <c r="V21" s="329"/>
      <c r="W21" s="174">
        <f>J21</f>
        <v>16</v>
      </c>
      <c r="X21" s="246">
        <f t="shared" si="34"/>
        <v>218.36</v>
      </c>
      <c r="Y21" s="247">
        <f t="shared" si="35"/>
        <v>54.59</v>
      </c>
      <c r="Z21" s="153">
        <f t="shared" si="36"/>
        <v>424.36</v>
      </c>
      <c r="AA21" s="173">
        <f t="shared" si="37"/>
        <v>53.045000000000002</v>
      </c>
      <c r="AB21" s="153">
        <f>L21</f>
        <v>824</v>
      </c>
      <c r="AC21" s="153">
        <f t="shared" si="38"/>
        <v>51.5</v>
      </c>
      <c r="AD21" s="156">
        <f>AB21*0.8</f>
        <v>659.2</v>
      </c>
      <c r="AF21" s="172">
        <f t="shared" si="39"/>
        <v>68.666666666666671</v>
      </c>
      <c r="AG21" s="172">
        <f t="shared" si="40"/>
        <v>27.680000000000064</v>
      </c>
      <c r="AH21" s="209">
        <f t="shared" si="41"/>
        <v>3.3592233009708816E-2</v>
      </c>
      <c r="AI21" s="209">
        <f t="shared" si="42"/>
        <v>3.4759895519389274E-2</v>
      </c>
    </row>
    <row r="22" spans="1:35" ht="15" thickBot="1" x14ac:dyDescent="0.35">
      <c r="A22" s="291"/>
      <c r="B22" s="47">
        <v>45</v>
      </c>
      <c r="C22" s="48">
        <v>16</v>
      </c>
      <c r="D22" s="182">
        <v>51.5</v>
      </c>
      <c r="E22" s="43">
        <f t="shared" si="31"/>
        <v>824</v>
      </c>
      <c r="F22" s="294"/>
      <c r="G22" s="128"/>
      <c r="H22" s="50">
        <f t="shared" ref="H22" si="43">B23</f>
        <v>45</v>
      </c>
      <c r="I22" s="50">
        <f>J22/4</f>
        <v>5</v>
      </c>
      <c r="J22" s="50">
        <f>C23</f>
        <v>20</v>
      </c>
      <c r="K22" s="183">
        <f>(H22/60)*J22</f>
        <v>15</v>
      </c>
      <c r="L22" s="44">
        <f t="shared" si="33"/>
        <v>1020</v>
      </c>
      <c r="M22" s="235">
        <f t="shared" si="30"/>
        <v>1040</v>
      </c>
      <c r="N22" s="161">
        <f>((M22/K22)*(K22/4))*1.06</f>
        <v>275.60000000000002</v>
      </c>
      <c r="O22" s="165">
        <v>1</v>
      </c>
      <c r="P22" s="315"/>
      <c r="U22" s="333"/>
      <c r="V22" s="330"/>
      <c r="W22" s="226">
        <f>J22</f>
        <v>20</v>
      </c>
      <c r="X22" s="252">
        <f t="shared" ref="X22" si="44">(AB22/4)*1.06</f>
        <v>270.3</v>
      </c>
      <c r="Y22" s="253">
        <f t="shared" ref="Y22" si="45">(X22*4)/W22</f>
        <v>54.06</v>
      </c>
      <c r="Z22" s="227">
        <f t="shared" ref="Z22" si="46">(AB22/2)*1.03</f>
        <v>525.30000000000007</v>
      </c>
      <c r="AA22" s="228">
        <f t="shared" ref="AA22" si="47">(Z22*2)/W22</f>
        <v>52.530000000000008</v>
      </c>
      <c r="AB22" s="227">
        <f>L22</f>
        <v>1020</v>
      </c>
      <c r="AC22" s="227">
        <f t="shared" ref="AC22" si="48">AB22/W22</f>
        <v>51</v>
      </c>
      <c r="AD22" s="229">
        <f>AB22*0.8</f>
        <v>816</v>
      </c>
      <c r="AF22" s="172">
        <f t="shared" si="39"/>
        <v>68</v>
      </c>
      <c r="AG22" s="172">
        <f t="shared" si="40"/>
        <v>24.600000000000009</v>
      </c>
      <c r="AH22" s="209">
        <f t="shared" si="41"/>
        <v>2.4117647058823539E-2</v>
      </c>
      <c r="AI22" s="209">
        <f t="shared" si="42"/>
        <v>2.4713682941531052E-2</v>
      </c>
    </row>
    <row r="23" spans="1:35" ht="15" thickBot="1" x14ac:dyDescent="0.35">
      <c r="A23" s="291"/>
      <c r="B23" s="47">
        <v>45</v>
      </c>
      <c r="C23" s="48">
        <v>20</v>
      </c>
      <c r="D23" s="182">
        <v>51</v>
      </c>
      <c r="E23" s="43">
        <f t="shared" ref="E23" si="49">D23*C23</f>
        <v>1020</v>
      </c>
      <c r="F23" s="294"/>
      <c r="G23" s="99"/>
      <c r="H23" s="100"/>
      <c r="I23" s="100"/>
      <c r="J23" s="100"/>
      <c r="K23" s="100"/>
      <c r="L23" s="100"/>
      <c r="M23" s="101"/>
      <c r="N23" s="162"/>
      <c r="O23" s="102"/>
      <c r="P23" s="315"/>
      <c r="U23" s="68"/>
      <c r="V23" s="68"/>
      <c r="X23" s="68"/>
    </row>
    <row r="24" spans="1:35" ht="29.4" thickBot="1" x14ac:dyDescent="0.35">
      <c r="A24" s="186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8"/>
      <c r="U24" s="218" t="s">
        <v>60</v>
      </c>
      <c r="V24" s="219" t="s">
        <v>55</v>
      </c>
      <c r="W24" s="220" t="s">
        <v>62</v>
      </c>
      <c r="X24" s="243" t="s">
        <v>74</v>
      </c>
      <c r="Y24" s="243" t="s">
        <v>75</v>
      </c>
      <c r="Z24" s="221" t="s">
        <v>71</v>
      </c>
      <c r="AA24" s="221" t="s">
        <v>72</v>
      </c>
      <c r="AB24" s="221" t="s">
        <v>69</v>
      </c>
      <c r="AC24" s="221" t="s">
        <v>70</v>
      </c>
      <c r="AD24" s="222" t="s">
        <v>57</v>
      </c>
      <c r="AE24" s="250"/>
      <c r="AF24" s="230" t="s">
        <v>96</v>
      </c>
      <c r="AG24" s="230" t="s">
        <v>97</v>
      </c>
      <c r="AH24" s="230" t="s">
        <v>98</v>
      </c>
      <c r="AI24" s="230" t="s">
        <v>99</v>
      </c>
    </row>
    <row r="25" spans="1:35" x14ac:dyDescent="0.3">
      <c r="U25" s="319" t="s">
        <v>100</v>
      </c>
      <c r="V25" s="316" t="s">
        <v>58</v>
      </c>
      <c r="W25" s="180">
        <f>J18</f>
        <v>4</v>
      </c>
      <c r="X25" s="244">
        <f>(AB25/4)*1.06</f>
        <v>56.71</v>
      </c>
      <c r="Y25" s="245">
        <f>(X25*4)/W25</f>
        <v>56.71</v>
      </c>
      <c r="Z25" s="176">
        <f>(AB25/2)*1.03</f>
        <v>110.21000000000001</v>
      </c>
      <c r="AA25" s="177">
        <f>(Z25*2)/W25</f>
        <v>55.105000000000004</v>
      </c>
      <c r="AB25" s="240">
        <f>AC25*W25</f>
        <v>214</v>
      </c>
      <c r="AC25" s="177">
        <f>AC18+1</f>
        <v>53.5</v>
      </c>
      <c r="AD25" s="241">
        <f>AB25*0.8</f>
        <v>171.20000000000002</v>
      </c>
      <c r="AE25" s="250"/>
      <c r="AF25" s="172">
        <f>(AC25/3)*4</f>
        <v>71.333333333333329</v>
      </c>
      <c r="AG25" s="172">
        <f>(AF25-66.36)*W25</f>
        <v>19.893333333333317</v>
      </c>
      <c r="AH25" s="209">
        <f>(AF25-66.36)/AF25</f>
        <v>6.9719626168224247E-2</v>
      </c>
      <c r="AI25" s="209">
        <f>(AF25-66.36)/66.36</f>
        <v>7.4944745830821724E-2</v>
      </c>
    </row>
    <row r="26" spans="1:35" x14ac:dyDescent="0.3">
      <c r="U26" s="320"/>
      <c r="V26" s="317"/>
      <c r="W26" s="174">
        <f>J19</f>
        <v>8</v>
      </c>
      <c r="X26" s="246">
        <f t="shared" ref="X26:X29" si="50">(AB26/4)*1.06</f>
        <v>112.36</v>
      </c>
      <c r="Y26" s="247">
        <f t="shared" ref="Y26:Y29" si="51">(X26*4)/W26</f>
        <v>56.18</v>
      </c>
      <c r="Z26" s="153">
        <f t="shared" ref="Z26:Z29" si="52">(AB26/2)*1.03</f>
        <v>218.36</v>
      </c>
      <c r="AA26" s="173">
        <f t="shared" ref="AA26:AA29" si="53">(Z26*2)/W26</f>
        <v>54.59</v>
      </c>
      <c r="AB26" s="153">
        <f>AC26*W26</f>
        <v>424</v>
      </c>
      <c r="AC26" s="173">
        <f t="shared" ref="AC26:AC29" si="54">AC19+1</f>
        <v>53</v>
      </c>
      <c r="AD26" s="156">
        <f t="shared" ref="AD26:AD29" si="55">AB26*0.8</f>
        <v>339.20000000000005</v>
      </c>
      <c r="AF26" s="172">
        <f t="shared" ref="AF26:AF29" si="56">(AC26/3)*4</f>
        <v>70.666666666666671</v>
      </c>
      <c r="AG26" s="172">
        <f t="shared" ref="AG26:AG29" si="57">(AF26-66.36)*W26</f>
        <v>34.453333333333376</v>
      </c>
      <c r="AH26" s="209">
        <f t="shared" ref="AH26:AH29" si="58">(AF26-66.36)/AF26</f>
        <v>6.0943396226415168E-2</v>
      </c>
      <c r="AI26" s="209">
        <f t="shared" ref="AI26:AI29" si="59">(AF26-66.36)/66.36</f>
        <v>6.4898533252963714E-2</v>
      </c>
    </row>
    <row r="27" spans="1:35" x14ac:dyDescent="0.3">
      <c r="U27" s="320"/>
      <c r="V27" s="317"/>
      <c r="W27" s="174">
        <f>J20</f>
        <v>12</v>
      </c>
      <c r="X27" s="246">
        <f t="shared" si="50"/>
        <v>165.36</v>
      </c>
      <c r="Y27" s="247">
        <f t="shared" si="51"/>
        <v>55.120000000000005</v>
      </c>
      <c r="Z27" s="153">
        <f t="shared" si="52"/>
        <v>321.36</v>
      </c>
      <c r="AA27" s="173">
        <f t="shared" si="53"/>
        <v>53.56</v>
      </c>
      <c r="AB27" s="153">
        <f t="shared" ref="AB27:AB29" si="60">AC27*W27</f>
        <v>624</v>
      </c>
      <c r="AC27" s="173">
        <f t="shared" si="54"/>
        <v>52</v>
      </c>
      <c r="AD27" s="156">
        <f t="shared" si="55"/>
        <v>499.20000000000005</v>
      </c>
      <c r="AF27" s="172">
        <f t="shared" si="56"/>
        <v>69.333333333333329</v>
      </c>
      <c r="AG27" s="172">
        <f t="shared" si="57"/>
        <v>35.67999999999995</v>
      </c>
      <c r="AH27" s="209">
        <f t="shared" si="58"/>
        <v>4.2884615384615327E-2</v>
      </c>
      <c r="AI27" s="209">
        <f t="shared" si="59"/>
        <v>4.4806108097247277E-2</v>
      </c>
    </row>
    <row r="28" spans="1:35" x14ac:dyDescent="0.3">
      <c r="U28" s="320"/>
      <c r="V28" s="317"/>
      <c r="W28" s="174">
        <f>J21</f>
        <v>16</v>
      </c>
      <c r="X28" s="246">
        <f t="shared" si="50"/>
        <v>222.60000000000002</v>
      </c>
      <c r="Y28" s="247">
        <f t="shared" si="51"/>
        <v>55.650000000000006</v>
      </c>
      <c r="Z28" s="153">
        <f t="shared" si="52"/>
        <v>432.6</v>
      </c>
      <c r="AA28" s="173">
        <f t="shared" si="53"/>
        <v>54.075000000000003</v>
      </c>
      <c r="AB28" s="153">
        <f t="shared" si="60"/>
        <v>840</v>
      </c>
      <c r="AC28" s="173">
        <f t="shared" si="54"/>
        <v>52.5</v>
      </c>
      <c r="AD28" s="156">
        <f t="shared" si="55"/>
        <v>672</v>
      </c>
      <c r="AF28" s="172">
        <f t="shared" si="56"/>
        <v>70</v>
      </c>
      <c r="AG28" s="172">
        <f t="shared" si="57"/>
        <v>58.240000000000009</v>
      </c>
      <c r="AH28" s="209">
        <f t="shared" si="58"/>
        <v>5.2000000000000011E-2</v>
      </c>
      <c r="AI28" s="209">
        <f t="shared" si="59"/>
        <v>5.4852320675105495E-2</v>
      </c>
    </row>
    <row r="29" spans="1:35" ht="15" thickBot="1" x14ac:dyDescent="0.35">
      <c r="U29" s="321"/>
      <c r="V29" s="318"/>
      <c r="W29" s="226">
        <f>J22</f>
        <v>20</v>
      </c>
      <c r="X29" s="248">
        <f t="shared" si="50"/>
        <v>275.60000000000002</v>
      </c>
      <c r="Y29" s="249">
        <f t="shared" si="51"/>
        <v>55.120000000000005</v>
      </c>
      <c r="Z29" s="178">
        <f t="shared" si="52"/>
        <v>535.6</v>
      </c>
      <c r="AA29" s="179">
        <f t="shared" si="53"/>
        <v>53.56</v>
      </c>
      <c r="AB29" s="178">
        <f t="shared" si="60"/>
        <v>1040</v>
      </c>
      <c r="AC29" s="228">
        <f t="shared" si="54"/>
        <v>52</v>
      </c>
      <c r="AD29" s="157">
        <f t="shared" si="55"/>
        <v>832</v>
      </c>
      <c r="AF29" s="172">
        <f t="shared" si="56"/>
        <v>69.333333333333329</v>
      </c>
      <c r="AG29" s="172">
        <f t="shared" si="57"/>
        <v>59.466666666666583</v>
      </c>
      <c r="AH29" s="209">
        <f t="shared" si="58"/>
        <v>4.2884615384615327E-2</v>
      </c>
      <c r="AI29" s="209">
        <f t="shared" si="59"/>
        <v>4.4806108097247277E-2</v>
      </c>
    </row>
  </sheetData>
  <mergeCells count="19">
    <mergeCell ref="U25:U29"/>
    <mergeCell ref="V25:V29"/>
    <mergeCell ref="V4:V8"/>
    <mergeCell ref="U4:U8"/>
    <mergeCell ref="V18:V22"/>
    <mergeCell ref="U18:U22"/>
    <mergeCell ref="U11:U15"/>
    <mergeCell ref="V11:V15"/>
    <mergeCell ref="A15:P15"/>
    <mergeCell ref="A1:P1"/>
    <mergeCell ref="A2:A14"/>
    <mergeCell ref="B2:E2"/>
    <mergeCell ref="P2:P14"/>
    <mergeCell ref="G2:O2"/>
    <mergeCell ref="A16:A23"/>
    <mergeCell ref="B16:E16"/>
    <mergeCell ref="F16:F23"/>
    <mergeCell ref="P16:P23"/>
    <mergeCell ref="G16:O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D7878-45E3-4524-8960-DA02442AF8FC}">
  <dimension ref="A2:J8"/>
  <sheetViews>
    <sheetView workbookViewId="0">
      <selection activeCell="B14" sqref="B14"/>
    </sheetView>
  </sheetViews>
  <sheetFormatPr defaultRowHeight="14.4" x14ac:dyDescent="0.3"/>
  <cols>
    <col min="4" max="4" width="8.88671875" style="264"/>
    <col min="5" max="10" width="8.88671875" style="36"/>
  </cols>
  <sheetData>
    <row r="2" spans="1:7" x14ac:dyDescent="0.3">
      <c r="A2" s="265">
        <v>69.5</v>
      </c>
      <c r="B2" s="265">
        <f>A2*C2</f>
        <v>69.5</v>
      </c>
      <c r="C2" s="33">
        <f>COUNTIF(E2:T2,"&lt;&gt;")</f>
        <v>1</v>
      </c>
      <c r="D2" s="264" t="s">
        <v>110</v>
      </c>
      <c r="E2" s="265">
        <v>69.5</v>
      </c>
    </row>
    <row r="3" spans="1:7" x14ac:dyDescent="0.3">
      <c r="B3" s="265">
        <f t="shared" ref="B3:B7" si="0">A3*C3</f>
        <v>0</v>
      </c>
      <c r="C3" s="33">
        <f t="shared" ref="C3:C7" si="1">COUNTIF(E3:T3,"&lt;&gt;")</f>
        <v>0</v>
      </c>
      <c r="D3" s="264" t="s">
        <v>112</v>
      </c>
    </row>
    <row r="4" spans="1:7" x14ac:dyDescent="0.3">
      <c r="A4" s="265">
        <v>68</v>
      </c>
      <c r="B4" s="265">
        <f>A4*C4</f>
        <v>204</v>
      </c>
      <c r="C4" s="33">
        <f t="shared" si="1"/>
        <v>3</v>
      </c>
      <c r="D4" s="264" t="s">
        <v>109</v>
      </c>
      <c r="E4" s="265">
        <v>68</v>
      </c>
      <c r="F4" s="265">
        <v>68</v>
      </c>
      <c r="G4" s="265">
        <v>68</v>
      </c>
    </row>
    <row r="5" spans="1:7" x14ac:dyDescent="0.3">
      <c r="A5" s="266">
        <v>66</v>
      </c>
      <c r="B5" s="265">
        <f t="shared" si="0"/>
        <v>66</v>
      </c>
      <c r="C5" s="33">
        <f t="shared" si="1"/>
        <v>1</v>
      </c>
      <c r="D5" s="264" t="s">
        <v>111</v>
      </c>
      <c r="E5" s="266">
        <v>66</v>
      </c>
    </row>
    <row r="6" spans="1:7" x14ac:dyDescent="0.3">
      <c r="A6" s="265">
        <v>65.81</v>
      </c>
      <c r="B6" s="265">
        <f t="shared" si="0"/>
        <v>65.81</v>
      </c>
      <c r="C6" s="33">
        <f t="shared" si="1"/>
        <v>1</v>
      </c>
      <c r="D6" s="264" t="s">
        <v>113</v>
      </c>
      <c r="E6" s="265">
        <v>65.81</v>
      </c>
    </row>
    <row r="7" spans="1:7" x14ac:dyDescent="0.3">
      <c r="A7" s="349">
        <v>69.33</v>
      </c>
      <c r="B7" s="350">
        <f t="shared" si="0"/>
        <v>69.33</v>
      </c>
      <c r="C7" s="33">
        <f t="shared" si="1"/>
        <v>1</v>
      </c>
      <c r="D7" s="264" t="s">
        <v>114</v>
      </c>
      <c r="E7" s="1">
        <v>69.33</v>
      </c>
    </row>
    <row r="8" spans="1:7" x14ac:dyDescent="0.3">
      <c r="A8" s="263">
        <f>AVERAGE(A2,A4:A7)</f>
        <v>67.727999999999994</v>
      </c>
      <c r="B8" s="68">
        <f>AVERAGE(B2,B4:B7)</f>
        <v>94.927999999999997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BC969-1010-43A4-88FF-852D9633814B}">
  <dimension ref="A1:Q23"/>
  <sheetViews>
    <sheetView workbookViewId="0">
      <selection activeCell="D4" sqref="D4"/>
    </sheetView>
  </sheetViews>
  <sheetFormatPr defaultRowHeight="14.4" x14ac:dyDescent="0.3"/>
  <cols>
    <col min="1" max="1" width="2.77734375" customWidth="1"/>
    <col min="2" max="2" width="11.33203125" customWidth="1"/>
    <col min="3" max="3" width="8.21875" customWidth="1"/>
    <col min="4" max="4" width="11" style="1" bestFit="1" customWidth="1"/>
    <col min="5" max="5" width="2.77734375" customWidth="1"/>
    <col min="6" max="6" width="8" bestFit="1" customWidth="1"/>
    <col min="7" max="7" width="11.44140625" bestFit="1" customWidth="1"/>
    <col min="9" max="9" width="9.88671875" customWidth="1"/>
    <col min="10" max="10" width="14.6640625" customWidth="1"/>
    <col min="11" max="11" width="16.88671875" customWidth="1"/>
    <col min="12" max="12" width="21.5546875" customWidth="1"/>
    <col min="14" max="14" width="2.77734375" customWidth="1"/>
    <col min="16" max="17" width="0" hidden="1" customWidth="1"/>
  </cols>
  <sheetData>
    <row r="1" spans="1:17" ht="18.600000000000001" thickBot="1" x14ac:dyDescent="0.4">
      <c r="A1" s="288" t="s">
        <v>50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90"/>
    </row>
    <row r="2" spans="1:17" s="2" customFormat="1" ht="15" thickBot="1" x14ac:dyDescent="0.35">
      <c r="A2" s="315"/>
      <c r="B2" s="296" t="s">
        <v>13</v>
      </c>
      <c r="C2" s="297"/>
      <c r="D2" s="298"/>
      <c r="E2" s="294"/>
      <c r="F2" s="292" t="s">
        <v>49</v>
      </c>
      <c r="G2" s="337"/>
      <c r="H2" s="337"/>
      <c r="I2" s="337"/>
      <c r="J2" s="337"/>
      <c r="K2" s="337"/>
      <c r="L2" s="337"/>
      <c r="M2" s="293"/>
      <c r="N2" s="299"/>
    </row>
    <row r="3" spans="1:17" s="3" customFormat="1" ht="29.4" thickBot="1" x14ac:dyDescent="0.35">
      <c r="A3" s="315"/>
      <c r="B3" s="57" t="s">
        <v>0</v>
      </c>
      <c r="C3" s="58" t="s">
        <v>6</v>
      </c>
      <c r="D3" s="59" t="s">
        <v>17</v>
      </c>
      <c r="E3" s="294"/>
      <c r="F3" s="122" t="s">
        <v>5</v>
      </c>
      <c r="G3" s="123" t="s">
        <v>0</v>
      </c>
      <c r="H3" s="123" t="s">
        <v>51</v>
      </c>
      <c r="I3" s="123" t="s">
        <v>18</v>
      </c>
      <c r="J3" s="123" t="s">
        <v>33</v>
      </c>
      <c r="K3" s="231" t="s">
        <v>19</v>
      </c>
      <c r="L3" s="232" t="s">
        <v>20</v>
      </c>
      <c r="M3" s="60" t="s">
        <v>7</v>
      </c>
      <c r="N3" s="299"/>
    </row>
    <row r="4" spans="1:17" s="3" customFormat="1" x14ac:dyDescent="0.3">
      <c r="A4" s="315"/>
      <c r="B4" s="49">
        <v>60</v>
      </c>
      <c r="C4" s="50">
        <v>1</v>
      </c>
      <c r="D4" s="43">
        <f>'60 Min. Training Rates'!E4</f>
        <v>68</v>
      </c>
      <c r="E4" s="294"/>
      <c r="F4" s="47">
        <v>1</v>
      </c>
      <c r="G4" s="50">
        <v>60</v>
      </c>
      <c r="H4" s="50">
        <v>4</v>
      </c>
      <c r="I4" s="50">
        <v>2</v>
      </c>
      <c r="J4" s="50">
        <f>(G4/60)*H4</f>
        <v>4</v>
      </c>
      <c r="K4" s="44">
        <f>SUM(D5,($D$12*I4))+150</f>
        <v>451</v>
      </c>
      <c r="L4" s="45">
        <f>K4*(1-M4)</f>
        <v>428.45</v>
      </c>
      <c r="M4" s="53">
        <v>0.05</v>
      </c>
      <c r="N4" s="299"/>
      <c r="P4" s="68">
        <f>D4/C4</f>
        <v>68</v>
      </c>
      <c r="Q4" s="68">
        <f>L4/(H4+((I4*15)/60))</f>
        <v>95.211111111111109</v>
      </c>
    </row>
    <row r="5" spans="1:17" x14ac:dyDescent="0.3">
      <c r="A5" s="315"/>
      <c r="B5" s="47">
        <v>60</v>
      </c>
      <c r="C5" s="48">
        <v>4</v>
      </c>
      <c r="D5" s="43">
        <f>'60 Min. Training Rates'!E5</f>
        <v>270</v>
      </c>
      <c r="E5" s="294"/>
      <c r="F5" s="47">
        <v>2</v>
      </c>
      <c r="G5" s="48">
        <v>60</v>
      </c>
      <c r="H5" s="48">
        <v>8</v>
      </c>
      <c r="I5" s="48">
        <v>2</v>
      </c>
      <c r="J5" s="48">
        <f>(G5/60)*H5</f>
        <v>8</v>
      </c>
      <c r="K5" s="44">
        <f>SUM(D6,($D$12*I5))+150</f>
        <v>717</v>
      </c>
      <c r="L5" s="45">
        <f t="shared" ref="L5:L6" si="0">K5*(1-M5)</f>
        <v>666.81</v>
      </c>
      <c r="M5" s="52">
        <v>7.0000000000000007E-2</v>
      </c>
      <c r="N5" s="299"/>
      <c r="P5" s="68">
        <f>D5/C5</f>
        <v>67.5</v>
      </c>
      <c r="Q5" s="68">
        <f>L5/(H5+((I5*15)/60))</f>
        <v>78.448235294117637</v>
      </c>
    </row>
    <row r="6" spans="1:17" x14ac:dyDescent="0.3">
      <c r="A6" s="315"/>
      <c r="B6" s="47">
        <v>60</v>
      </c>
      <c r="C6" s="48">
        <v>8</v>
      </c>
      <c r="D6" s="43">
        <f>'60 Min. Training Rates'!E6</f>
        <v>536</v>
      </c>
      <c r="E6" s="294"/>
      <c r="F6" s="47">
        <v>3</v>
      </c>
      <c r="G6" s="48">
        <v>60</v>
      </c>
      <c r="H6" s="48">
        <v>12</v>
      </c>
      <c r="I6" s="48">
        <v>2</v>
      </c>
      <c r="J6" s="48">
        <f>(G6/60)*H6</f>
        <v>12</v>
      </c>
      <c r="K6" s="44">
        <f>SUM(D7,($D$12*I6))+150</f>
        <v>973</v>
      </c>
      <c r="L6" s="45">
        <f t="shared" si="0"/>
        <v>885.43000000000006</v>
      </c>
      <c r="M6" s="52">
        <v>0.09</v>
      </c>
      <c r="N6" s="299"/>
      <c r="P6" s="68">
        <f>D6/C6</f>
        <v>67</v>
      </c>
      <c r="Q6" s="68">
        <f t="shared" ref="Q6:Q7" si="1">L6/(H6+((I6*15)/60))</f>
        <v>70.834400000000002</v>
      </c>
    </row>
    <row r="7" spans="1:17" x14ac:dyDescent="0.3">
      <c r="A7" s="315"/>
      <c r="B7" s="79">
        <v>60</v>
      </c>
      <c r="C7" s="95">
        <v>12</v>
      </c>
      <c r="D7" s="43">
        <f>'60 Min. Training Rates'!E7</f>
        <v>792</v>
      </c>
      <c r="E7" s="294"/>
      <c r="F7" s="47">
        <v>4</v>
      </c>
      <c r="G7" s="48">
        <v>60</v>
      </c>
      <c r="H7" s="48">
        <v>16</v>
      </c>
      <c r="I7" s="48">
        <v>2</v>
      </c>
      <c r="J7" s="48">
        <f>(G7/60)*H7</f>
        <v>16</v>
      </c>
      <c r="K7" s="217">
        <f>SUM(D8,($D$12*I7))+150</f>
        <v>1245</v>
      </c>
      <c r="L7" s="223">
        <f>K7*(1-M7)</f>
        <v>1108.05</v>
      </c>
      <c r="M7" s="52">
        <v>0.11</v>
      </c>
      <c r="N7" s="299"/>
      <c r="P7" s="68">
        <f>D7/C7</f>
        <v>66</v>
      </c>
      <c r="Q7" s="68">
        <f t="shared" si="1"/>
        <v>67.154545454545456</v>
      </c>
    </row>
    <row r="8" spans="1:17" ht="15" thickBot="1" x14ac:dyDescent="0.35">
      <c r="A8" s="315"/>
      <c r="B8" s="47">
        <v>60</v>
      </c>
      <c r="C8" s="48">
        <v>16</v>
      </c>
      <c r="D8" s="43">
        <f>'60 Min. Training Rates'!E8</f>
        <v>1064</v>
      </c>
      <c r="E8" s="294"/>
      <c r="F8" s="96">
        <v>4</v>
      </c>
      <c r="G8" s="97">
        <v>60</v>
      </c>
      <c r="H8" s="97">
        <v>20</v>
      </c>
      <c r="I8" s="97">
        <v>2</v>
      </c>
      <c r="J8" s="97">
        <f>(G8/60)*H8</f>
        <v>20</v>
      </c>
      <c r="K8" s="127">
        <f>SUM(D9,($D$12*I8))+150</f>
        <v>1501</v>
      </c>
      <c r="L8" s="189">
        <f t="shared" ref="L8" si="2">K8*(1-M8)</f>
        <v>1305.8699999999999</v>
      </c>
      <c r="M8" s="98">
        <v>0.13</v>
      </c>
      <c r="N8" s="299"/>
      <c r="P8" s="68"/>
    </row>
    <row r="9" spans="1:17" ht="15" thickBot="1" x14ac:dyDescent="0.35">
      <c r="A9" s="315"/>
      <c r="B9" s="47">
        <v>60</v>
      </c>
      <c r="C9" s="48">
        <v>20</v>
      </c>
      <c r="D9" s="43">
        <f>'60 Min. Training Rates'!E9</f>
        <v>1320</v>
      </c>
      <c r="E9" s="294"/>
      <c r="F9" s="213"/>
      <c r="G9" s="214"/>
      <c r="H9" s="214"/>
      <c r="I9" s="214"/>
      <c r="J9" s="214"/>
      <c r="K9" s="214"/>
      <c r="L9" s="214"/>
      <c r="M9" s="215"/>
      <c r="N9" s="315"/>
      <c r="P9" s="68"/>
    </row>
    <row r="10" spans="1:17" ht="15" thickBot="1" x14ac:dyDescent="0.35">
      <c r="A10" s="315"/>
      <c r="B10" s="311" t="s">
        <v>4</v>
      </c>
      <c r="C10" s="312"/>
      <c r="D10" s="313"/>
      <c r="E10" s="294"/>
      <c r="F10" s="99"/>
      <c r="G10" s="100"/>
      <c r="H10" s="100"/>
      <c r="I10" s="100"/>
      <c r="J10" s="100"/>
      <c r="K10" s="100"/>
      <c r="L10" s="101"/>
      <c r="M10" s="102"/>
      <c r="N10" s="315"/>
      <c r="P10" s="68"/>
    </row>
    <row r="11" spans="1:17" ht="28.8" x14ac:dyDescent="0.3">
      <c r="A11" s="315"/>
      <c r="B11" s="122" t="s">
        <v>0</v>
      </c>
      <c r="C11" s="123"/>
      <c r="D11" s="60" t="s">
        <v>14</v>
      </c>
      <c r="E11" s="294"/>
      <c r="F11" s="103"/>
      <c r="G11" s="104"/>
      <c r="H11" s="104"/>
      <c r="I11" s="104"/>
      <c r="J11" s="104"/>
      <c r="K11" s="105"/>
      <c r="L11" s="106"/>
      <c r="M11" s="107"/>
      <c r="N11" s="315"/>
    </row>
    <row r="12" spans="1:17" ht="14.4" customHeight="1" thickBot="1" x14ac:dyDescent="0.35">
      <c r="A12" s="315"/>
      <c r="B12" s="338">
        <v>15</v>
      </c>
      <c r="C12" s="339"/>
      <c r="D12" s="42">
        <f>(B12/B4)*(D4-6)</f>
        <v>15.5</v>
      </c>
      <c r="E12" s="294"/>
      <c r="F12" s="108"/>
      <c r="G12" s="109"/>
      <c r="H12" s="109"/>
      <c r="I12" s="109"/>
      <c r="J12" s="109"/>
      <c r="K12" s="110"/>
      <c r="L12" s="111"/>
      <c r="M12" s="112"/>
      <c r="N12" s="315"/>
    </row>
    <row r="13" spans="1:17" ht="18.600000000000001" thickBot="1" x14ac:dyDescent="0.4">
      <c r="A13" s="288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90"/>
    </row>
    <row r="14" spans="1:17" ht="18.600000000000001" thickBot="1" x14ac:dyDescent="0.4">
      <c r="A14" s="288" t="s">
        <v>63</v>
      </c>
      <c r="B14" s="289"/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90"/>
    </row>
    <row r="15" spans="1:17" ht="15" thickBot="1" x14ac:dyDescent="0.35">
      <c r="A15" s="291"/>
      <c r="B15" s="296" t="s">
        <v>16</v>
      </c>
      <c r="C15" s="297"/>
      <c r="D15" s="298"/>
      <c r="E15" s="294"/>
      <c r="F15" s="292" t="s">
        <v>49</v>
      </c>
      <c r="G15" s="337"/>
      <c r="H15" s="337"/>
      <c r="I15" s="337"/>
      <c r="J15" s="337"/>
      <c r="K15" s="337"/>
      <c r="L15" s="337"/>
      <c r="M15" s="293"/>
      <c r="N15" s="315"/>
    </row>
    <row r="16" spans="1:17" ht="43.2" x14ac:dyDescent="0.3">
      <c r="A16" s="291"/>
      <c r="B16" s="54" t="s">
        <v>0</v>
      </c>
      <c r="C16" s="55" t="s">
        <v>6</v>
      </c>
      <c r="D16" s="56" t="s">
        <v>17</v>
      </c>
      <c r="E16" s="294"/>
      <c r="F16" s="114" t="s">
        <v>5</v>
      </c>
      <c r="G16" s="115" t="s">
        <v>0</v>
      </c>
      <c r="H16" s="115" t="s">
        <v>51</v>
      </c>
      <c r="I16" s="115" t="s">
        <v>18</v>
      </c>
      <c r="J16" s="115"/>
      <c r="K16" s="116" t="s">
        <v>21</v>
      </c>
      <c r="L16" s="117" t="s">
        <v>22</v>
      </c>
      <c r="M16" s="118" t="s">
        <v>7</v>
      </c>
      <c r="N16" s="299"/>
    </row>
    <row r="17" spans="1:14" x14ac:dyDescent="0.3">
      <c r="A17" s="291"/>
      <c r="B17" s="49">
        <v>60</v>
      </c>
      <c r="C17" s="50">
        <v>1</v>
      </c>
      <c r="D17" s="43">
        <f t="shared" ref="D17:D22" si="3">D4</f>
        <v>68</v>
      </c>
      <c r="E17" s="294"/>
      <c r="F17" s="49"/>
      <c r="G17" s="50">
        <v>60</v>
      </c>
      <c r="H17" s="50">
        <v>4</v>
      </c>
      <c r="I17" s="50">
        <v>1</v>
      </c>
      <c r="J17" s="50"/>
      <c r="K17" s="44">
        <f>(D18*1.05)</f>
        <v>283.5</v>
      </c>
      <c r="L17" s="45">
        <f>K17/2</f>
        <v>141.75</v>
      </c>
      <c r="M17" s="53">
        <f>(L4-L17)/L4</f>
        <v>0.66915626094059988</v>
      </c>
      <c r="N17" s="299"/>
    </row>
    <row r="18" spans="1:14" x14ac:dyDescent="0.3">
      <c r="A18" s="291"/>
      <c r="B18" s="47">
        <v>60</v>
      </c>
      <c r="C18" s="48">
        <v>4</v>
      </c>
      <c r="D18" s="43">
        <f t="shared" si="3"/>
        <v>270</v>
      </c>
      <c r="E18" s="294"/>
      <c r="F18" s="47"/>
      <c r="G18" s="48">
        <v>60</v>
      </c>
      <c r="H18" s="48">
        <v>8</v>
      </c>
      <c r="I18" s="48">
        <v>1</v>
      </c>
      <c r="J18" s="48"/>
      <c r="K18" s="44">
        <f t="shared" ref="K18:K21" si="4">(D19*1.05)</f>
        <v>562.80000000000007</v>
      </c>
      <c r="L18" s="45">
        <f>K18/2</f>
        <v>281.40000000000003</v>
      </c>
      <c r="M18" s="53">
        <f>(L5-L18)/L5</f>
        <v>0.57799073199262152</v>
      </c>
      <c r="N18" s="299"/>
    </row>
    <row r="19" spans="1:14" x14ac:dyDescent="0.3">
      <c r="A19" s="291"/>
      <c r="B19" s="47">
        <v>60</v>
      </c>
      <c r="C19" s="48">
        <v>8</v>
      </c>
      <c r="D19" s="43">
        <f t="shared" si="3"/>
        <v>536</v>
      </c>
      <c r="E19" s="294"/>
      <c r="F19" s="113"/>
      <c r="G19" s="48">
        <v>60</v>
      </c>
      <c r="H19" s="48">
        <v>12</v>
      </c>
      <c r="I19" s="48">
        <v>1</v>
      </c>
      <c r="J19" s="48"/>
      <c r="K19" s="44">
        <f t="shared" si="4"/>
        <v>831.6</v>
      </c>
      <c r="L19" s="45">
        <f t="shared" ref="L19:L20" si="5">K19/2</f>
        <v>415.8</v>
      </c>
      <c r="M19" s="53">
        <f>(L6-L19)/L6</f>
        <v>0.53039765989406285</v>
      </c>
      <c r="N19" s="299"/>
    </row>
    <row r="20" spans="1:14" x14ac:dyDescent="0.3">
      <c r="A20" s="291"/>
      <c r="B20" s="79">
        <v>60</v>
      </c>
      <c r="C20" s="95">
        <v>12</v>
      </c>
      <c r="D20" s="43">
        <f t="shared" si="3"/>
        <v>792</v>
      </c>
      <c r="E20" s="294"/>
      <c r="F20" s="225"/>
      <c r="G20" s="48">
        <v>60</v>
      </c>
      <c r="H20" s="48">
        <v>16</v>
      </c>
      <c r="I20" s="48">
        <v>1</v>
      </c>
      <c r="J20" s="48"/>
      <c r="K20" s="44">
        <f t="shared" si="4"/>
        <v>1117.2</v>
      </c>
      <c r="L20" s="223">
        <f t="shared" si="5"/>
        <v>558.6</v>
      </c>
      <c r="M20" s="52">
        <f>(L7-L20)/L7</f>
        <v>0.49587112494923508</v>
      </c>
      <c r="N20" s="299"/>
    </row>
    <row r="21" spans="1:14" ht="15" thickBot="1" x14ac:dyDescent="0.35">
      <c r="A21" s="291"/>
      <c r="B21" s="47">
        <v>60</v>
      </c>
      <c r="C21" s="48">
        <v>16</v>
      </c>
      <c r="D21" s="41">
        <f t="shared" si="3"/>
        <v>1064</v>
      </c>
      <c r="E21" s="294"/>
      <c r="F21" s="128"/>
      <c r="G21" s="97">
        <v>60</v>
      </c>
      <c r="H21" s="97">
        <v>20</v>
      </c>
      <c r="I21" s="97">
        <v>1</v>
      </c>
      <c r="J21" s="97"/>
      <c r="K21" s="44">
        <f t="shared" si="4"/>
        <v>1386</v>
      </c>
      <c r="L21" s="45">
        <f t="shared" ref="L21" si="6">K21/2</f>
        <v>693</v>
      </c>
      <c r="M21" s="53">
        <f>(L8-L21)/L8</f>
        <v>0.46931930437179809</v>
      </c>
      <c r="N21" s="315"/>
    </row>
    <row r="22" spans="1:14" x14ac:dyDescent="0.3">
      <c r="A22" s="291"/>
      <c r="B22" s="47">
        <v>60</v>
      </c>
      <c r="C22" s="48">
        <v>20</v>
      </c>
      <c r="D22" s="41">
        <f t="shared" si="3"/>
        <v>1320</v>
      </c>
      <c r="E22" s="294"/>
      <c r="F22" s="99"/>
      <c r="G22" s="100"/>
      <c r="H22" s="100"/>
      <c r="I22" s="100"/>
      <c r="J22" s="100"/>
      <c r="K22" s="100"/>
      <c r="L22" s="101"/>
      <c r="M22" s="102"/>
      <c r="N22" s="315"/>
    </row>
    <row r="23" spans="1:14" ht="15" thickBot="1" x14ac:dyDescent="0.35">
      <c r="A23" s="334"/>
      <c r="B23" s="335"/>
      <c r="C23" s="335"/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6"/>
    </row>
  </sheetData>
  <mergeCells count="16">
    <mergeCell ref="A13:N13"/>
    <mergeCell ref="A1:N1"/>
    <mergeCell ref="A2:A12"/>
    <mergeCell ref="B2:D2"/>
    <mergeCell ref="E2:E12"/>
    <mergeCell ref="F2:M2"/>
    <mergeCell ref="N2:N12"/>
    <mergeCell ref="B10:D10"/>
    <mergeCell ref="B12:C12"/>
    <mergeCell ref="A23:N23"/>
    <mergeCell ref="A14:N14"/>
    <mergeCell ref="A15:A22"/>
    <mergeCell ref="B15:D15"/>
    <mergeCell ref="E15:E22"/>
    <mergeCell ref="F15:M15"/>
    <mergeCell ref="N15:N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48C3C-8C45-4ED4-B0F5-E08D8610496F}">
  <dimension ref="B1:F16"/>
  <sheetViews>
    <sheetView zoomScale="140" zoomScaleNormal="140" workbookViewId="0">
      <selection activeCell="H6" sqref="H6"/>
    </sheetView>
  </sheetViews>
  <sheetFormatPr defaultRowHeight="14.4" x14ac:dyDescent="0.3"/>
  <cols>
    <col min="1" max="1" width="2.77734375" customWidth="1"/>
    <col min="2" max="2" width="11.44140625" bestFit="1" customWidth="1"/>
    <col min="3" max="3" width="10.44140625" bestFit="1" customWidth="1"/>
    <col min="4" max="4" width="13.109375" bestFit="1" customWidth="1"/>
    <col min="5" max="5" width="10.44140625" bestFit="1" customWidth="1"/>
    <col min="6" max="6" width="10.109375" bestFit="1" customWidth="1"/>
    <col min="7" max="7" width="2.77734375" customWidth="1"/>
  </cols>
  <sheetData>
    <row r="1" spans="2:6" ht="15" thickBot="1" x14ac:dyDescent="0.35"/>
    <row r="2" spans="2:6" ht="21.6" thickBot="1" x14ac:dyDescent="0.45">
      <c r="B2" s="346" t="s">
        <v>93</v>
      </c>
      <c r="C2" s="347"/>
      <c r="D2" s="347"/>
      <c r="E2" s="347"/>
      <c r="F2" s="348"/>
    </row>
    <row r="3" spans="2:6" ht="18" x14ac:dyDescent="0.35">
      <c r="B3" s="343" t="s">
        <v>92</v>
      </c>
      <c r="C3" s="344"/>
      <c r="D3" s="344"/>
      <c r="E3" s="344"/>
      <c r="F3" s="345"/>
    </row>
    <row r="4" spans="2:6" ht="15" thickBot="1" x14ac:dyDescent="0.35">
      <c r="B4" s="200" t="s">
        <v>84</v>
      </c>
      <c r="C4" s="201" t="s">
        <v>85</v>
      </c>
      <c r="D4" s="201" t="s">
        <v>86</v>
      </c>
      <c r="E4" s="201" t="s">
        <v>87</v>
      </c>
      <c r="F4" s="202" t="s">
        <v>88</v>
      </c>
    </row>
    <row r="5" spans="2:6" x14ac:dyDescent="0.3">
      <c r="B5" s="195">
        <v>15</v>
      </c>
      <c r="C5" s="196">
        <v>1</v>
      </c>
      <c r="D5" s="15">
        <f t="shared" ref="D5:D12" si="0">B5*C5</f>
        <v>15</v>
      </c>
      <c r="E5" s="203">
        <v>15</v>
      </c>
      <c r="F5" s="197">
        <f t="shared" ref="F5:F12" si="1">D5-E5</f>
        <v>0</v>
      </c>
    </row>
    <row r="6" spans="2:6" x14ac:dyDescent="0.3">
      <c r="B6" s="192">
        <v>15</v>
      </c>
      <c r="C6" s="191">
        <v>2</v>
      </c>
      <c r="D6" s="4">
        <f t="shared" si="0"/>
        <v>30</v>
      </c>
      <c r="E6" s="204">
        <v>15</v>
      </c>
      <c r="F6" s="129">
        <f t="shared" si="1"/>
        <v>15</v>
      </c>
    </row>
    <row r="7" spans="2:6" x14ac:dyDescent="0.3">
      <c r="B7" s="192">
        <v>15</v>
      </c>
      <c r="C7" s="191">
        <v>3</v>
      </c>
      <c r="D7" s="4">
        <f t="shared" si="0"/>
        <v>45</v>
      </c>
      <c r="E7" s="204">
        <v>20</v>
      </c>
      <c r="F7" s="129">
        <f t="shared" si="1"/>
        <v>25</v>
      </c>
    </row>
    <row r="8" spans="2:6" x14ac:dyDescent="0.3">
      <c r="B8" s="192">
        <v>15</v>
      </c>
      <c r="C8" s="191">
        <v>4</v>
      </c>
      <c r="D8" s="4">
        <f t="shared" si="0"/>
        <v>60</v>
      </c>
      <c r="E8" s="204">
        <v>25</v>
      </c>
      <c r="F8" s="129">
        <f t="shared" si="1"/>
        <v>35</v>
      </c>
    </row>
    <row r="9" spans="2:6" x14ac:dyDescent="0.3">
      <c r="B9" s="192">
        <v>15</v>
      </c>
      <c r="C9" s="191">
        <v>5</v>
      </c>
      <c r="D9" s="4">
        <f t="shared" si="0"/>
        <v>75</v>
      </c>
      <c r="E9" s="204">
        <v>30</v>
      </c>
      <c r="F9" s="129">
        <f t="shared" si="1"/>
        <v>45</v>
      </c>
    </row>
    <row r="10" spans="2:6" x14ac:dyDescent="0.3">
      <c r="B10" s="192">
        <v>15</v>
      </c>
      <c r="C10" s="191">
        <v>6</v>
      </c>
      <c r="D10" s="4">
        <f t="shared" si="0"/>
        <v>90</v>
      </c>
      <c r="E10" s="204">
        <v>35</v>
      </c>
      <c r="F10" s="129">
        <f t="shared" si="1"/>
        <v>55</v>
      </c>
    </row>
    <row r="11" spans="2:6" x14ac:dyDescent="0.3">
      <c r="B11" s="192">
        <v>15</v>
      </c>
      <c r="C11" s="191">
        <v>7</v>
      </c>
      <c r="D11" s="4">
        <f t="shared" si="0"/>
        <v>105</v>
      </c>
      <c r="E11" s="204">
        <v>40</v>
      </c>
      <c r="F11" s="129">
        <f t="shared" si="1"/>
        <v>65</v>
      </c>
    </row>
    <row r="12" spans="2:6" ht="15" thickBot="1" x14ac:dyDescent="0.35">
      <c r="B12" s="193">
        <v>15</v>
      </c>
      <c r="C12" s="194">
        <v>8</v>
      </c>
      <c r="D12" s="7">
        <f t="shared" si="0"/>
        <v>120</v>
      </c>
      <c r="E12" s="205">
        <v>45</v>
      </c>
      <c r="F12" s="141">
        <f t="shared" si="1"/>
        <v>75</v>
      </c>
    </row>
    <row r="13" spans="2:6" ht="18" x14ac:dyDescent="0.35">
      <c r="B13" s="340" t="s">
        <v>91</v>
      </c>
      <c r="C13" s="341"/>
      <c r="D13" s="341"/>
      <c r="E13" s="341"/>
      <c r="F13" s="342"/>
    </row>
    <row r="14" spans="2:6" ht="15" thickBot="1" x14ac:dyDescent="0.35">
      <c r="B14" s="200" t="s">
        <v>84</v>
      </c>
      <c r="C14" s="201" t="s">
        <v>85</v>
      </c>
      <c r="D14" s="201" t="s">
        <v>86</v>
      </c>
      <c r="E14" s="201" t="s">
        <v>87</v>
      </c>
      <c r="F14" s="202" t="s">
        <v>88</v>
      </c>
    </row>
    <row r="15" spans="2:6" x14ac:dyDescent="0.3">
      <c r="B15" s="195">
        <v>15</v>
      </c>
      <c r="C15" s="198" t="s">
        <v>89</v>
      </c>
      <c r="D15" s="198" t="s">
        <v>90</v>
      </c>
      <c r="E15" s="206">
        <v>0.5</v>
      </c>
      <c r="F15" s="199">
        <v>0.5</v>
      </c>
    </row>
    <row r="16" spans="2:6" ht="15" thickBot="1" x14ac:dyDescent="0.35">
      <c r="B16" s="193">
        <v>15</v>
      </c>
      <c r="C16" s="194">
        <v>10</v>
      </c>
      <c r="D16" s="7">
        <f>B16*C16</f>
        <v>150</v>
      </c>
      <c r="E16" s="207">
        <f>D16*0.5</f>
        <v>75</v>
      </c>
      <c r="F16" s="141">
        <f>D16-E16</f>
        <v>75</v>
      </c>
    </row>
  </sheetData>
  <mergeCells count="3">
    <mergeCell ref="B13:F13"/>
    <mergeCell ref="B3:F3"/>
    <mergeCell ref="B2:F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C6DB7F843AE4386D5ED67AE127A95" ma:contentTypeVersion="6" ma:contentTypeDescription="Create a new document." ma:contentTypeScope="" ma:versionID="a69efb2c1e55c67decdc33c571e5fbe7">
  <xsd:schema xmlns:xsd="http://www.w3.org/2001/XMLSchema" xmlns:xs="http://www.w3.org/2001/XMLSchema" xmlns:p="http://schemas.microsoft.com/office/2006/metadata/properties" xmlns:ns2="08a3e9ca-c203-46e5-91b2-478d5c3e26ea" targetNamespace="http://schemas.microsoft.com/office/2006/metadata/properties" ma:root="true" ma:fieldsID="9de2d2ced67574708c26c5f3b7407e16" ns2:_="">
    <xsd:import namespace="08a3e9ca-c203-46e5-91b2-478d5c3e26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3e9ca-c203-46e5-91b2-478d5c3e26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08a3e9ca-c203-46e5-91b2-478d5c3e26ea" xsi:nil="true"/>
  </documentManagement>
</p:properties>
</file>

<file path=customXml/itemProps1.xml><?xml version="1.0" encoding="utf-8"?>
<ds:datastoreItem xmlns:ds="http://schemas.openxmlformats.org/officeDocument/2006/customXml" ds:itemID="{0D68E477-3201-474D-A8F2-3354FEFD90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A64EFF-79A2-4BBE-9247-1C3FEE9415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a3e9ca-c203-46e5-91b2-478d5c3e26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A33311-71F0-40DD-BAF3-D18FB61B96A9}">
  <ds:schemaRefs>
    <ds:schemaRef ds:uri="http://schemas.microsoft.com/office/2006/metadata/properties"/>
    <ds:schemaRef ds:uri="http://schemas.microsoft.com/office/infopath/2007/PartnerControls"/>
    <ds:schemaRef ds:uri="08a3e9ca-c203-46e5-91b2-478d5c3e26e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Garage Rates &amp; Packages</vt:lpstr>
      <vt:lpstr>Coaching Rates &amp; Packages</vt:lpstr>
      <vt:lpstr>60 Min. Training Rates</vt:lpstr>
      <vt:lpstr>30 &amp; 45 Min. Training Rates</vt:lpstr>
      <vt:lpstr>AverageHourlyRate</vt:lpstr>
      <vt:lpstr>Personal Training +</vt:lpstr>
      <vt:lpstr>Classes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Jason Keith</dc:creator>
  <cp:lastModifiedBy>Jason Keith</cp:lastModifiedBy>
  <dcterms:created xsi:type="dcterms:W3CDTF">2015-06-05T18:17:20Z</dcterms:created>
  <dcterms:modified xsi:type="dcterms:W3CDTF">2023-02-25T16:09:58Z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0x0101006DEC6DB7F843AE4386D5ED67AE127A95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